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11555" sheetId="6" state="visible" r:id="rId8"/>
    <sheet name="jgjg" sheetId="7" state="hidden" r:id="rId9"/>
    <sheet name="liste codes réf" sheetId="8" state="hidden" r:id="rId10"/>
  </sheets>
  <definedNames>
    <definedName function="false" hidden="false" localSheetId="5" name="_xlnm.Print_Area" vbProcedure="false">'06111555'!$A$1:$Q$82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'06111555'!$A$1:$Q$82</definedName>
    <definedName function="false" hidden="false" localSheetId="5" name="_xlnm__FilterDatabase" vbProcedure="false">'06111555'!$A$1:$C$1415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<sst xmlns="http://schemas.openxmlformats.org/spreadsheetml/2006/main" count="8838" uniqueCount="3497">
  <si>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</si>
  <si>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</si>
  <si>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</si>
  <si>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</si>
  <si>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</si>
  <si>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</si>
  <si>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</si>
  <si>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</si>
  <si>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</si>
  <si>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</si>
  <si>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</si>
  <si>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</si>
  <si>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</si>
  <si>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</si>
  <si>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</si>
  <si>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</si>
  <si>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</si>
  <si>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</si>
  <si>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</si>
  <si>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</si>
  <si>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</si>
  <si>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</si>
  <si>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</si>
  <si>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</si>
  <si>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</si>
  <si>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</si>
  <si>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</si>
  <si>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</si>
  <si>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</si>
  <si>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</si>
  <si>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</si>
  <si>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</si>
  <si>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</si>
  <si>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</si>
  <si>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</si>
  <si>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</si>
  <si>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</si>
  <si>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</si>
  <si>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</si>
  <si>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</si>
  <si>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</si>
  <si>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</si>
  <si>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</si>
  <si>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</si>
  <si>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</si>
  <si>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</si>
  <si>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</si>
  <si>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</si>
  <si>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</si>
  <si>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</si>
  <si>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</si>
  <si>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</si>
  <si>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</si>
  <si>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</si>
  <si>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</si>
  <si>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</si>
  <si>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</si>
  <si>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</si>
  <si>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</si>
  <si>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</si>
  <si>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</si>
  <si>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</si>
  <si>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</si>
  <si>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</si>
  <si>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</si>
  <si>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</si>
  <si>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</si>
  <si>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</si>
  <si>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</si>
  <si>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</si>
  <si>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</si>
  <si>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</si>
  <si>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</si>
  <si>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</si>
  <si>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</si>
  <si>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</si>
  <si>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</si>
  <si>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</si>
  <si>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</si>
  <si>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</si>
  <si>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</si>
  <si>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</si>
  <si>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</si>
  <si>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</si>
  <si>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</si>
  <si>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</si>
  <si>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</si>
  <si>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</si>
  <si>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</si>
  <si>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</si>
  <si>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</si>
  <si>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</si>
  <si>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</si>
  <si>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</si>
  <si>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</si>
  <si>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</si>
  <si>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</si>
  <si>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</si>
  <si>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</si>
  <si>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</si>
  <si>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</si>
  <si>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</si>
  <si>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</si>
  <si>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</si>
  <si>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</si>
  <si>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</si>
  <si>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</si>
  <si>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</si>
  <si>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</si>
  <si>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</si>
  <si>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</si>
  <si>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</si>
  <si>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</si>
  <si>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</si>
  <si>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</si>
  <si>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</si>
  <si>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</si>
  <si>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</si>
  <si>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</si>
  <si>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</si>
  <si>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</si>
  <si>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</si>
  <si>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</si>
  <si>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</si>
  <si>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</si>
  <si>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</si>
  <si>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</si>
  <si>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</si>
  <si>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</si>
  <si>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</si>
  <si>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</si>
  <si>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</si>
  <si>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</si>
  <si>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</si>
  <si>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</si>
  <si>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</si>
  <si>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</si>
  <si>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</si>
  <si>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</si>
  <si>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</si>
  <si>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</si>
  <si>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</si>
  <si>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</si>
  <si>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</si>
  <si>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</si>
  <si>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</si>
  <si>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</si>
  <si>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</si>
  <si>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</si>
  <si>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</si>
  <si>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</si>
  <si>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</si>
  <si>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</si>
  <si>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</si>
  <si>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</si>
  <si>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</si>
  <si>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</si>
  <si>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</si>
  <si>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</si>
  <si>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</si>
  <si>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</si>
  <si>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</si>
  <si>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</si>
  <si>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</si>
  <si>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</si>
  <si>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</si>
  <si>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</si>
  <si>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</si>
  <si>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</si>
  <si>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</si>
  <si>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</si>
  <si>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</si>
  <si>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</si>
  <si>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</si>
  <si>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</si>
  <si>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</si>
  <si>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</si>
  <si>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</si>
  <si>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</si>
  <si>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</si>
  <si>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</si>
  <si>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</si>
  <si>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</si>
  <si>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</si>
  <si>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</si>
  <si>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</si>
  <si>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</si>
  <si>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</si>
  <si>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</si>
  <si>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</si>
  <si>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</si>
  <si>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</si>
  <si>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</si>
  <si>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</si>
  <si>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</si>
  <si>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</si>
  <si>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</si>
  <si>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</si>
  <si>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</si>
  <si>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</si>
  <si>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</si>
  <si>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</si>
  <si>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</si>
  <si>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</si>
  <si>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</si>
  <si>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</si>
  <si>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</si>
  <si>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</si>
  <si>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</si>
  <si>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</si>
  <si>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</si>
  <si>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</si>
  <si>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</si>
  <si>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</si>
  <si>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</si>
  <si>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</si>
  <si>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</si>
  <si>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</si>
  <si>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</si>
  <si>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</si>
  <si>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</si>
  <si>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</si>
  <si>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</si>
  <si>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</si>
  <si>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</si>
  <si>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</si>
  <si>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</si>
  <si>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</si>
  <si>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</si>
  <si>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</si>
  <si>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</si>
  <si>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</si>
  <si>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</si>
  <si>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</si>
  <si>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</si>
  <si>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</si>
  <si>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</si>
  <si>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</si>
  <si>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</si>
  <si>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</si>
  <si>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</si>
  <si>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</si>
  <si>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</si>
  <si>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</si>
  <si>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</si>
  <si>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</si>
  <si>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</si>
  <si>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</si>
  <si>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</si>
  <si>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</si>
  <si>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</si>
  <si>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</si>
  <si>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</si>
  <si>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</si>
  <si>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</si>
  <si>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</si>
  <si>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</si>
  <si>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</si>
  <si>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</si>
  <si>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</si>
  <si>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</si>
  <si>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</si>
  <si>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</si>
  <si>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</si>
  <si>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</si>
  <si>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</si>
  <si>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</si>
  <si>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</si>
  <si>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</si>
  <si>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</si>
  <si>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</si>
  <si>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</si>
  <si>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</si>
  <si>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</si>
  <si>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</si>
  <si>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</si>
  <si>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</si>
  <si>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</si>
  <si>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</si>
  <si>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</si>
  <si>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</si>
  <si>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</si>
  <si>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</si>
  <si>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</si>
  <si>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</si>
  <si>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</si>
  <si>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</si>
  <si>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</si>
  <si>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</si>
  <si>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</si>
  <si>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</si>
  <si>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</si>
  <si>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</si>
  <si>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</si>
  <si>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</si>
  <si>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</si>
  <si>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</si>
  <si>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</si>
  <si>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</si>
  <si>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</si>
  <si>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</si>
  <si>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</si>
  <si>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</si>
  <si>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</si>
  <si>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</si>
  <si>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</si>
  <si>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</si>
  <si>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</si>
  <si>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</si>
  <si>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</si>
  <si>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</si>
  <si>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</si>
  <si>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</si>
  <si>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</si>
  <si>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</si>
  <si>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</si>
  <si>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</si>
  <si>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</si>
  <si>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</si>
  <si>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</si>
  <si>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</si>
  <si>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</si>
  <si>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</si>
  <si>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</si>
  <si>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</si>
  <si>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</si>
  <si>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</si>
  <si>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</si>
  <si>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</si>
  <si>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</si>
  <si>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</si>
  <si>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</si>
  <si>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</si>
  <si>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</si>
  <si>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</si>
  <si>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</si>
  <si>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</si>
  <si>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</si>
  <si>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</si>
  <si>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</si>
  <si>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</si>
  <si>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</si>
  <si>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</si>
  <si>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</si>
  <si>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</si>
  <si>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</si>
  <si>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</si>
  <si>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</si>
  <si>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</si>
  <si>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</si>
  <si>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</si>
  <si>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</si>
  <si>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</si>
  <si>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</si>
  <si>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</si>
  <si>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</si>
  <si>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</si>
  <si>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</si>
  <si>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</si>
  <si>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</si>
  <si>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</si>
  <si>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</si>
  <si>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</si>
  <si>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</si>
  <si>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</si>
  <si>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</si>
  <si>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</si>
  <si>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</si>
  <si>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</si>
  <si>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</si>
  <si>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</si>
  <si>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</si>
  <si>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</si>
  <si>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</si>
  <si>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</si>
  <si>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</si>
  <si>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</si>
  <si>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</si>
  <si>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</si>
  <si>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</si>
  <si>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</si>
  <si>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</si>
  <si>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</si>
  <si>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</si>
  <si>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</si>
  <si>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</si>
  <si>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</si>
  <si>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</si>
  <si>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</si>
  <si>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</si>
  <si>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</si>
  <si>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</si>
  <si>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</si>
  <si>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</si>
  <si>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</si>
  <si>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</si>
  <si>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</si>
  <si>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</si>
  <si>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</si>
  <si>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</si>
  <si>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</si>
  <si>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</si>
  <si>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</si>
  <si>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</si>
  <si>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</si>
  <si>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</si>
  <si>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</si>
  <si>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</si>
  <si>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</si>
  <si>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</si>
  <si>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</si>
  <si>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</si>
  <si>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</si>
  <si>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</si>
  <si>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</si>
  <si>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</si>
  <si>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</si>
  <si>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</si>
  <si>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</si>
  <si>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</si>
  <si>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</si>
  <si>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</si>
  <si>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</si>
  <si>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</si>
  <si>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</si>
  <si>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</si>
  <si>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</si>
  <si>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</si>
  <si>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</si>
  <si>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</si>
  <si>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</si>
  <si>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</si>
  <si>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</si>
  <si>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</si>
  <si>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</si>
  <si>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</si>
  <si>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</si>
  <si>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</si>
  <si>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</si>
  <si>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</si>
  <si>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</si>
  <si>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</si>
  <si>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</si>
  <si>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</si>
  <si>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</si>
  <si>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</si>
  <si>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</si>
  <si>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</si>
  <si>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</si>
  <si>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</si>
  <si>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</si>
  <si>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</si>
  <si>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</si>
  <si>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</si>
  <si>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</si>
  <si>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</si>
  <si>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</si>
  <si>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</si>
  <si>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</si>
  <si>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</si>
  <si>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</si>
  <si>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</si>
  <si>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</si>
  <si>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</si>
  <si>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</si>
  <si>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</si>
  <si>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</si>
  <si>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</si>
  <si>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</si>
  <si>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</si>
  <si>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</si>
  <si>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</si>
  <si>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</si>
  <si>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</si>
  <si>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</si>
  <si>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</si>
  <si>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</si>
  <si>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</si>
  <si>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</si>
  <si>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</si>
  <si>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</si>
  <si>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</si>
  <si>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</si>
  <si>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</si>
  <si>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</si>
  <si>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</si>
  <si>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</si>
  <si>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</si>
  <si>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</si>
  <si>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</si>
  <si>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</si>
  <si>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</si>
  <si>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</si>
  <si>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</si>
  <si>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</si>
  <si>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</si>
  <si>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</si>
  <si>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</si>
  <si>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</si>
  <si>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</si>
  <si>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</si>
  <si>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</si>
  <si>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</si>
  <si>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</si>
  <si>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</si>
  <si>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</si>
  <si>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</si>
  <si>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</si>
  <si>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</si>
  <si>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</si>
  <si>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</si>
  <si>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</si>
  <si>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</si>
  <si>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</si>
  <si>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</si>
  <si>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</si>
  <si>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</si>
  <si>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</si>
  <si>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</si>
  <si>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</si>
  <si>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</si>
  <si>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</si>
  <si>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</si>
  <si>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</si>
  <si>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</si>
  <si>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</si>
  <si>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</si>
  <si>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</si>
  <si>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</si>
  <si>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</si>
  <si>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</si>
  <si>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</si>
  <si>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</si>
  <si>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</si>
  <si>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</si>
  <si>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</si>
  <si>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</si>
  <si>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</si>
  <si>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</si>
  <si>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</si>
  <si>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</si>
  <si>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</si>
  <si>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</si>
  <si>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</si>
  <si>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</si>
  <si>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</si>
  <si>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</si>
  <si>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</si>
  <si>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</si>
  <si>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</si>
  <si>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</si>
  <si>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</si>
  <si>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</si>
  <si>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</si>
  <si>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</si>
  <si>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</si>
  <si>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</si>
  <si>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</si>
  <si>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</si>
  <si>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</si>
  <si>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</si>
  <si>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</si>
  <si>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</si>
  <si>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</si>
  <si>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</si>
  <si>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</si>
  <si>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</si>
  <si>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</si>
  <si>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</si>
  <si>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</si>
  <si>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</si>
  <si>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</si>
  <si>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</si>
  <si>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</si>
  <si>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</si>
  <si>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</si>
  <si>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</si>
  <si>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</si>
  <si>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</si>
  <si>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</si>
  <si>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</si>
  <si>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</si>
  <si>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</si>
  <si>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</si>
  <si>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</si>
  <si>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</si>
  <si>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</si>
  <si>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</si>
  <si>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</si>
  <si>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</si>
  <si>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</si>
  <si>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</si>
  <si>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</si>
  <si>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</si>
  <si>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</si>
  <si>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</si>
  <si>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</si>
  <si>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</si>
  <si>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</si>
  <si>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</si>
  <si>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</si>
  <si>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</si>
  <si>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</si>
  <si>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</si>
  <si>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</si>
  <si>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</si>
  <si>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</si>
  <si>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</si>
  <si>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</si>
  <si>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</si>
  <si>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</si>
  <si>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</si>
  <si>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</si>
  <si>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</si>
  <si>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</si>
  <si>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</si>
  <si>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</si>
  <si>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</si>
  <si>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</si>
  <si>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</si>
  <si>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</si>
  <si>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</si>
  <si>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</si>
  <si>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</si>
  <si>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</si>
  <si>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</si>
  <si>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</si>
  <si>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</si>
  <si>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</si>
  <si>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</si>
  <si>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</si>
  <si>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</si>
  <si>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</si>
  <si>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</si>
  <si>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</si>
  <si>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</si>
  <si>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</si>
  <si>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</si>
  <si>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</si>
  <si>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</si>
  <si>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</si>
  <si>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</si>
  <si>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</si>
  <si>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</si>
  <si>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</si>
  <si>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</si>
  <si>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</si>
  <si>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</si>
  <si>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</si>
  <si>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</si>
  <si>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</si>
  <si>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</si>
  <si>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</si>
  <si>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</si>
  <si>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</si>
  <si>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</si>
  <si>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</si>
  <si>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</si>
  <si>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</si>
  <si>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</si>
  <si>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</si>
  <si>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</si>
  <si>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</si>
  <si>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</si>
  <si>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</si>
  <si>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</si>
  <si>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</si>
  <si>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</si>
  <si>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</si>
  <si>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</si>
  <si>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</si>
  <si>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</si>
  <si>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</si>
  <si>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</si>
  <si>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</si>
  <si>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</si>
  <si>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</si>
  <si>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</si>
  <si>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</si>
  <si>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</si>
  <si>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</si>
  <si>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</si>
  <si>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</si>
  <si>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</si>
  <si>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</si>
  <si>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</si>
  <si>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</si>
  <si>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</si>
  <si>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</si>
  <si>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</si>
  <si>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</si>
  <si>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</si>
  <si>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</si>
  <si>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</si>
  <si>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</si>
  <si>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</si>
  <si>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</si>
  <si>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</si>
  <si>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</si>
  <si>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</si>
  <si>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</si>
  <si>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</si>
  <si>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</si>
  <si>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</si>
  <si>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</si>
  <si>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</si>
  <si>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</si>
  <si>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</si>
  <si>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</si>
  <si>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</si>
  <si>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</si>
  <si>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</si>
  <si>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</si>
  <si>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</si>
  <si>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</si>
  <si>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</si>
  <si>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</si>
  <si>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</si>
  <si>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</si>
  <si>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</si>
  <si>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</si>
  <si>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</si>
  <si>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</si>
  <si>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</si>
  <si>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</si>
  <si>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</si>
  <si>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</si>
  <si>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</si>
  <si>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</si>
  <si>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</si>
  <si>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</si>
  <si>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</si>
  <si>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</si>
  <si>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</si>
  <si>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</si>
  <si>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</si>
  <si>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</si>
  <si>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</si>
  <si>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</si>
  <si>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</si>
  <si>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</si>
  <si>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</si>
  <si>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</si>
  <si>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</si>
  <si>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</si>
  <si>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</si>
  <si>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</si>
  <si>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</si>
  <si>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</si>
  <si>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</si>
  <si>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</si>
  <si>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</si>
  <si>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</si>
  <si>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</si>
  <si>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</si>
  <si>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</si>
  <si>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</si>
  <si>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</si>
  <si>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</si>
  <si>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</si>
  <si>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</si>
  <si>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</si>
  <si>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</si>
  <si>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</si>
  <si>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</si>
  <si>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</si>
  <si>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</si>
  <si>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</si>
  <si>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</si>
  <si>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</si>
  <si>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</si>
  <si>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</si>
  <si>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</si>
  <si>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</si>
  <si>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</si>
  <si>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</si>
  <si>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</si>
  <si>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</si>
  <si>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</si>
  <si>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</si>
  <si>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</si>
  <si>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</si>
  <si>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</si>
  <si>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</si>
  <si>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</si>
  <si>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</si>
  <si>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</si>
  <si>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</si>
  <si>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</si>
  <si>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</si>
  <si>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</si>
  <si>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</si>
  <si>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</si>
  <si>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</si>
  <si>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</si>
  <si>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</si>
  <si>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</si>
  <si>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</si>
  <si>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</si>
  <si>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</si>
  <si>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</si>
  <si>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</si>
  <si>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</si>
  <si>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</si>
  <si>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</si>
  <si>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</si>
  <si>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</si>
  <si>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</si>
  <si>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</si>
  <si>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</si>
  <si>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</si>
  <si>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</si>
  <si>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</si>
  <si>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</si>
  <si>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</si>
  <si>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</si>
  <si>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</si>
  <si>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</si>
  <si>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</si>
  <si>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</si>
  <si>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</si>
  <si>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</si>
  <si>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</si>
  <si>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</si>
  <si>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</si>
  <si>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</si>
  <si>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</si>
  <si>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</si>
  <si>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</si>
  <si>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</si>
  <si>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</si>
  <si>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</si>
  <si>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</si>
  <si>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</si>
  <si>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</si>
  <si>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</si>
  <si>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</si>
  <si>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</si>
  <si>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</si>
  <si>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</si>
  <si>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</si>
  <si>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</si>
  <si>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</si>
  <si>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</si>
  <si>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</si>
  <si>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</si>
  <si>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</si>
  <si>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</si>
  <si>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</si>
  <si>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</si>
  <si>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</si>
  <si>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</si>
  <si>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</si>
  <si>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</si>
  <si>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</si>
  <si>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</si>
  <si>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</si>
  <si>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</si>
  <si>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</si>
  <si>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</si>
  <si>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</si>
  <si>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</si>
  <si>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</si>
  <si>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</si>
  <si>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</si>
  <si>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</si>
  <si>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</si>
  <si>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</si>
  <si>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</si>
  <si>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</si>
  <si>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</si>
  <si>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</si>
  <si>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</si>
  <si>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</si>
  <si>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</si>
  <si>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</si>
  <si>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</si>
  <si>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</si>
  <si>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</si>
  <si>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</si>
  <si>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</si>
  <si>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</si>
  <si>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</si>
  <si>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</si>
  <si>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</si>
  <si>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</si>
  <si>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</si>
  <si>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</si>
  <si>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</si>
  <si>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</si>
  <si>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</si>
  <si>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</si>
  <si>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</si>
  <si>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</si>
  <si>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</si>
  <si>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</si>
  <si>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</si>
  <si>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</si>
  <si>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</si>
  <si>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</si>
  <si>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</si>
  <si>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</si>
  <si>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</si>
  <si>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</si>
  <si>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</si>
  <si>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</si>
  <si>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</si>
  <si>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</si>
  <si>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</si>
  <si>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</si>
  <si>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</si>
  <si>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</si>
  <si>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</si>
  <si>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</si>
  <si>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</si>
  <si>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</si>
  <si>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</si>
  <si>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</si>
  <si>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</si>
  <si>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</si>
  <si>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</si>
  <si>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</si>
  <si>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</si>
  <si>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</si>
  <si>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</si>
  <si>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</si>
  <si>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</si>
  <si>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</si>
  <si>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</si>
  <si>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</si>
  <si>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</si>
  <si>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</si>
  <si>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</si>
  <si>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</si>
  <si>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</si>
  <si>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</si>
  <si>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</si>
  <si>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</si>
  <si>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</si>
  <si>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</si>
  <si>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</si>
  <si>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</si>
  <si>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</si>
  <si>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</si>
  <si>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</si>
  <si>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</si>
  <si>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</si>
  <si>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</si>
  <si>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</si>
  <si>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</si>
  <si>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</si>
  <si>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</si>
  <si>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</si>
  <si>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</si>
  <si>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</si>
  <si>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</si>
  <si>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</si>
  <si>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</si>
  <si>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</si>
  <si>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</si>
  <si>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</si>
  <si>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</si>
  <si>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</si>
  <si>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</si>
  <si>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</si>
  <si>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</si>
  <si>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</si>
  <si>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</si>
  <si>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</si>
  <si>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</si>
  <si>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</si>
  <si>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</si>
  <si>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</si>
  <si>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</si>
  <si>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</si>
  <si>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</si>
  <si>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</si>
  <si>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</si>
  <si>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</si>
  <si>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</si>
  <si>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</si>
  <si>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</si>
  <si>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</si>
  <si>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</si>
  <si>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</si>
  <si>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</si>
  <si>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</si>
  <si>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</si>
  <si>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</si>
  <si>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</si>
  <si>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</si>
  <si>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</si>
  <si>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</si>
  <si>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</si>
  <si>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</si>
  <si>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</si>
  <si>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</si>
  <si>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</si>
  <si>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</si>
  <si>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</si>
  <si>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</si>
  <si>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</si>
  <si>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</si>
  <si>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</si>
  <si>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</si>
  <si>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</si>
  <si>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</si>
  <si>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</si>
  <si>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</si>
  <si>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</si>
  <si>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</si>
  <si>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</si>
  <si>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</si>
  <si>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</si>
  <si>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</si>
  <si>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</si>
  <si>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</si>
  <si>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</si>
  <si>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</si>
  <si>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</si>
  <si>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</si>
  <si>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</si>
  <si>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</si>
  <si>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</si>
  <si>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</si>
  <si>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</si>
  <si>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</si>
  <si>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</si>
  <si>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</si>
  <si>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</si>
  <si>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</si>
  <si>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</si>
  <si>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</si>
  <si>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</si>
  <si>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</si>
  <si>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</si>
  <si>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</si>
  <si>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</si>
  <si>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</si>
  <si>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</si>
  <si>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</si>
  <si>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</si>
  <si>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</si>
  <si>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</si>
  <si>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</si>
  <si>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</si>
  <si>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</si>
  <si>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</si>
  <si>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</si>
  <si>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</si>
  <si>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</si>
  <si>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</si>
  <si>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</si>
  <si>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</si>
  <si>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</si>
  <si>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</si>
  <si>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</si>
  <si>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</si>
  <si>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</si>
  <si>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</si>
  <si>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</si>
  <si>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</si>
  <si>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</si>
  <si>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</si>
  <si>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</si>
  <si>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</si>
  <si>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</si>
  <si>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</si>
  <si>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</si>
  <si>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</si>
  <si>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</si>
  <si>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</si>
  <si>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</si>
  <si>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</si>
  <si>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</si>
  <si>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</si>
  <si>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</si>
  <si>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</si>
  <si>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</si>
  <si>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</si>
  <si>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</si>
  <si>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</si>
  <si>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</si>
  <si>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</si>
  <si>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</si>
  <si>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</si>
  <si>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</si>
  <si>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</si>
  <si>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</si>
  <si>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</si>
  <si>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</si>
  <si>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</si>
  <si>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</si>
  <si>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</si>
  <si>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</si>
  <si>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</si>
  <si>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</si>
  <si>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</si>
  <si>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</si>
  <si>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</si>
  <si>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</si>
  <si>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</si>
  <si>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</si>
  <si>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</si>
  <si>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</si>
  <si>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</si>
  <si>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</si>
  <si>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</si>
  <si>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</si>
  <si>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</si>
  <si>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</si>
  <si>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</si>
  <si>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</si>
  <si>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</si>
  <si>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</si>
  <si>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</si>
  <si>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</si>
  <si>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</si>
  <si>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</si>
  <si>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</si>
  <si>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</si>
  <si>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</si>
  <si>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</si>
  <si>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</si>
  <si>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</si>
  <si>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</si>
  <si>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</si>
  <si>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</si>
  <si>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</si>
  <si>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</si>
  <si>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</si>
  <si>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</si>
  <si>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</si>
  <si>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</si>
  <si>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</si>
  <si>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</si>
  <si>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</si>
  <si>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</si>
  <si>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</si>
  <si>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</si>
  <si>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</si>
  <si>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</si>
  <si>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</si>
  <si>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</si>
  <si>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</si>
  <si>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</si>
  <si>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</si>
  <si>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</si>
  <si>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</si>
  <si>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</si>
  <si>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</si>
  <si>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</si>
  <si>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</si>
  <si>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</si>
  <si>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</si>
  <si>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</si>
  <si>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</si>
  <si>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</si>
  <si>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</si>
  <si>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</si>
  <si>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</si>
  <si>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</si>
  <si>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</si>
  <si>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</si>
  <si>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</si>
  <si>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</si>
  <si>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</si>
  <si>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</si>
  <si>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</si>
  <si>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</si>
  <si>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</si>
  <si>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</si>
  <si>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</si>
  <si>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</si>
  <si>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</si>
  <si>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</si>
  <si>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</si>
  <si>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</si>
  <si>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</si>
  <si>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</si>
  <si>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</si>
  <si>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</si>
  <si>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</si>
  <si>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</si>
  <si>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</si>
  <si>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</si>
  <si>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</si>
  <si>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</si>
  <si>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</si>
  <si>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</si>
  <si>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</si>
  <si>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</si>
  <si>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</si>
  <si>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</si>
  <si>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</si>
  <si>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</si>
  <si>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</si>
  <si>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</si>
  <si>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</si>
  <si>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</si>
  <si>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</si>
  <si>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</si>
  <si>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</si>
  <si>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</si>
  <si>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</si>
  <si>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</si>
  <si>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</si>
  <si>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</si>
  <si>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</si>
  <si>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</si>
  <si>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</si>
  <si>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</si>
  <si>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</si>
  <si>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</si>
  <si>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</si>
  <si>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</si>
  <si>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</si>
  <si>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</si>
  <si>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</si>
  <si>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</si>
  <si>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</si>
  <si>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</si>
  <si>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</si>
  <si>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</si>
  <si>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</si>
  <si>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</si>
  <si>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</si>
  <si>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</si>
  <si>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</si>
  <si>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</si>
  <si>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</si>
  <si>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</si>
  <si>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</si>
  <si>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</si>
  <si>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</si>
  <si>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</si>
  <si>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</si>
  <si>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</si>
  <si>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</si>
  <si>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</si>
  <si>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</si>
  <si>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</si>
  <si>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</si>
  <si>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</si>
  <si>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</si>
  <si>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</si>
  <si>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</si>
  <si>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</si>
  <si>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</si>
  <si>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</si>
  <si>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</si>
  <si>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</si>
  <si>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</si>
  <si>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</si>
  <si>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</si>
  <si>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</si>
  <si>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</si>
  <si>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</si>
  <si>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</si>
  <si>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</si>
  <si>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</si>
  <si>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</si>
  <si>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</si>
  <si>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</si>
  <si>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</si>
  <si>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</si>
  <si>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</si>
  <si>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</si>
  <si>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</si>
  <si>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</si>
  <si>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</si>
  <si>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</si>
  <si>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</si>
  <si>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</si>
  <si>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</si>
  <si>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</si>
  <si>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</si>
  <si>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</si>
  <si>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</si>
  <si>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</si>
  <si>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</si>
  <si>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</si>
  <si>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</si>
  <si>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</si>
  <si>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</si>
  <si>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</si>
  <si>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</si>
  <si>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</si>
  <si>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</si>
  <si>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</si>
  <si>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</si>
  <si>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</si>
  <si>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</si>
  <si>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</si>
  <si>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</si>
  <si>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</si>
  <si>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</si>
  <si>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</si>
  <si>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</si>
  <si>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</si>
  <si>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</si>
  <si>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</si>
  <si>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</si>
  <si>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</si>
  <si>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</si>
  <si>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</si>
  <si>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</si>
  <si>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</si>
  <si>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</si>
  <si>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</si>
  <si>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</si>
  <si>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</si>
  <si>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</si>
  <si>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</si>
  <si>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</si>
  <si>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</si>
  <si>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</si>
  <si>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</si>
  <si>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</si>
  <si>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</si>
  <si>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</si>
  <si>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</si>
  <si>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</si>
  <si>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</si>
  <si>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</si>
  <si>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</si>
  <si>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</si>
  <si>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</si>
  <si>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</si>
  <si>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</si>
  <si>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</si>
  <si>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</si>
  <si>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</si>
  <si>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</si>
  <si>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</si>
  <si>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</si>
  <si>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</si>
  <si>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</si>
  <si>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</si>
  <si>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</si>
  <si>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</si>
  <si>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</si>
  <si>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</si>
  <si>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</si>
  <si>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</si>
  <si>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</si>
  <si>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</si>
  <si>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</si>
  <si>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</si>
  <si>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</si>
  <si>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</si>
  <si>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</si>
  <si>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</si>
  <si>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</si>
  <si>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</si>
  <si>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</si>
  <si>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</si>
  <si>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</si>
  <si>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</si>
  <si>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</si>
  <si>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</si>
  <si>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</si>
  <si>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</si>
  <si>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</si>
  <si>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</si>
  <si>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</si>
  <si>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</si>
  <si>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</si>
  <si>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</si>
  <si>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</si>
  <si>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</si>
  <si>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</si>
  <si>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</si>
  <si>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</si>
  <si>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</si>
  <si>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</si>
  <si>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</si>
  <si>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</si>
  <si>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</si>
  <si>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</si>
  <si>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</si>
  <si>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</si>
  <si>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</si>
  <si>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</si>
  <si>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</si>
  <si>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</si>
  <si>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</si>
  <si>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</si>
  <si>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</si>
  <si>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</si>
  <si>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</si>
  <si>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</si>
  <si>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</si>
  <si>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</si>
  <si>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</si>
  <si>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</si>
  <si>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</si>
  <si>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</si>
  <si>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</si>
  <si>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</si>
  <si>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</si>
  <si>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</si>
  <si>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</si>
  <si>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</si>
  <si>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</si>
  <si>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</si>
  <si>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</si>
  <si>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</si>
  <si>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</si>
  <si>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</si>
  <si>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</si>
  <si>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</si>
  <si>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</si>
  <si>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</si>
  <si>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</si>
  <si>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</si>
  <si>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</si>
  <si>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</si>
  <si>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</si>
  <si>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</si>
  <si>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</si>
  <si>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</si>
  <si>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</si>
  <si>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</si>
  <si>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</si>
  <si>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</si>
  <si>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</si>
  <si>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</si>
  <si>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</si>
  <si>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</si>
  <si>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</si>
  <si>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</si>
  <si>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</si>
  <si>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</si>
  <si>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</si>
  <si>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</si>
  <si>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</si>
  <si>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</si>
  <si>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</si>
  <si>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</si>
  <si>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</si>
  <si>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</si>
  <si>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</si>
  <si>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</si>
  <si>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</si>
  <si>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</si>
  <si>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</si>
  <si>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</si>
  <si>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</si>
  <si>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</si>
  <si>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</si>
  <si>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</si>
  <si>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</si>
  <si>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</si>
  <si>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</si>
  <si>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</si>
  <si>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</si>
  <si>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</si>
  <si>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</si>
  <si>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</si>
  <si>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</si>
  <si>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</si>
  <si>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</si>
  <si>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</si>
  <si>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</si>
  <si>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</si>
  <si>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</si>
  <si>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</si>
  <si>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</si>
  <si>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</si>
  <si>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</si>
  <si>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</si>
  <si>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</si>
  <si>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</si>
  <si>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</si>
  <si>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</si>
  <si>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</si>
  <si>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</si>
  <si>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</si>
  <si>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</si>
  <si>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</si>
  <si>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</si>
  <si>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</si>
  <si>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</si>
  <si>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</si>
  <si>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</si>
  <si>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</si>
  <si>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</si>
  <si>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</si>
  <si>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</si>
  <si>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</si>
  <si>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</si>
  <si>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</si>
  <si>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</si>
  <si>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</si>
  <si>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</si>
  <si>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</si>
  <si>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</si>
  <si>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</si>
  <si>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</si>
  <si>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</si>
  <si>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</si>
  <si>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</si>
  <si>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</si>
  <si>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</si>
  <si>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</si>
  <si>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</si>
  <si>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</si>
  <si>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</si>
  <si>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</si>
  <si>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</si>
  <si>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</si>
  <si>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</si>
  <si>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</si>
  <si>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</si>
  <si>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</si>
  <si>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</si>
  <si>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</si>
  <si>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</si>
  <si>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</si>
  <si>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</si>
  <si>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</si>
  <si>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</si>
  <si>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</si>
  <si>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</si>
  <si>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</si>
  <si>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</si>
  <si>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</si>
  <si>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</si>
  <si>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</si>
  <si>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</si>
  <si>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</si>
  <si>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</si>
  <si>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</si>
  <si>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</si>
  <si>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</si>
  <si>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</si>
  <si>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</si>
  <si>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</si>
  <si>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</si>
  <si>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</si>
  <si>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</si>
  <si>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</si>
  <si>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</si>
  <si>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</si>
  <si>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</si>
  <si>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</si>
  <si>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</si>
  <si>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</si>
  <si>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</si>
  <si>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</si>
  <si>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</si>
  <si>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</si>
  <si>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</si>
  <si>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</si>
  <si>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</si>
  <si>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</si>
  <si>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</si>
  <si>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</si>
  <si>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</si>
  <si>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</si>
  <si>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</si>
  <si>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</si>
  <si>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</si>
  <si>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</si>
  <si>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</si>
  <si>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</si>
  <si>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</si>
  <si>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</si>
  <si>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</si>
  <si>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</si>
  <si>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</si>
  <si>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</si>
  <si>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</si>
  <si>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</si>
  <si>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</si>
  <si>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</si>
  <si>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</si>
  <si>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</si>
  <si>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</si>
  <si>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</si>
  <si>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</si>
  <si>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</si>
  <si>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</si>
  <si>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</si>
  <si>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</si>
  <si>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</si>
  <si>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</si>
  <si>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</si>
  <si>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</si>
  <si>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</si>
  <si>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</si>
  <si>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</si>
  <si>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</si>
  <si>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</si>
  <si>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</si>
  <si>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</si>
  <si>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</si>
  <si>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</si>
  <si>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</si>
  <si>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</si>
  <si>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</si>
  <si>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</si>
  <si>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</si>
  <si>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</si>
  <si>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</si>
  <si>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</si>
  <si>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</si>
  <si>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</si>
  <si>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</si>
  <si>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</si>
  <si>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</si>
  <si>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</si>
  <si>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</si>
  <si>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</si>
  <si>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</si>
  <si>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</si>
  <si>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</si>
  <si>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</si>
  <si>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</si>
  <si>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</si>
  <si>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</si>
  <si>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</si>
  <si>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</si>
  <si>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</si>
  <si>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</si>
  <si>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</si>
  <si>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</si>
  <si>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</si>
  <si>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</si>
  <si>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</si>
  <si>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</si>
  <si>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</si>
  <si>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</si>
  <si>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</si>
  <si>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</si>
  <si>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</si>
  <si>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</si>
  <si>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</si>
  <si>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</si>
  <si>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</si>
  <si>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</si>
  <si>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</si>
  <si>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</si>
  <si>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</si>
  <si>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</si>
  <si>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</si>
  <si>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</si>
  <si>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</si>
  <si>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</si>
  <si>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</si>
  <si>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</si>
  <si>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</si>
  <si>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</si>
  <si>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</si>
  <si>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</si>
  <si>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</si>
  <si>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</si>
  <si>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</si>
  <si>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</si>
  <si>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</si>
  <si>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</si>
  <si>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</si>
  <si>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</si>
  <si>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</si>
  <si>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</si>
  <si>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</si>
  <si>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</si>
  <si>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</si>
  <si>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</si>
  <si>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</si>
  <si>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</si>
  <si>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</si>
  <si>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</si>
  <si>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</si>
  <si>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</si>
  <si>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</si>
  <si>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</si>
  <si>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</si>
  <si>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</si>
  <si>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</si>
  <si>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</si>
  <si>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</si>
  <si>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</si>
  <si>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</si>
  <si>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</si>
  <si>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</si>
  <si>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</si>
  <si>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</si>
  <si>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</si>
  <si>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</si>
  <si>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</si>
  <si>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</si>
  <si>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</si>
  <si>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</si>
  <si>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</si>
  <si>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</si>
  <si>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</si>
  <si>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</si>
  <si>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</si>
  <si>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</si>
  <si>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</si>
  <si>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</si>
  <si>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</si>
  <si>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</si>
  <si>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</si>
  <si>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</si>
  <si>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</si>
  <si>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</si>
  <si>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</si>
  <si>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</si>
  <si>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</si>
  <si>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</si>
  <si>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</si>
  <si>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</si>
  <si>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</si>
  <si>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</si>
  <si>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</si>
  <si>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</si>
  <si>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</si>
  <si>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</si>
  <si>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</si>
  <si>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</si>
  <si>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</si>
  <si>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</si>
  <si>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</si>
  <si>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</si>
  <si>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</si>
  <si>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</si>
  <si>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</si>
  <si>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</si>
  <si>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</si>
  <si>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</si>
  <si>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</si>
  <si>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</si>
  <si>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</si>
  <si>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</si>
  <si>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</si>
  <si>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</si>
  <si>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</si>
  <si>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</si>
  <si>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</si>
  <si>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</si>
  <si>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</si>
  <si>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</si>
  <si>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</si>
  <si>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</si>
  <si>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</si>
  <si>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</si>
  <si>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</si>
  <si>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</si>
  <si>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</si>
  <si>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</si>
  <si>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</si>
  <si>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</si>
  <si>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</si>
  <si>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</si>
  <si>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</si>
  <si>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</si>
  <si>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</si>
  <si>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</si>
  <si>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</si>
  <si>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</si>
  <si>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</si>
  <si>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</si>
  <si>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</si>
  <si>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</si>
  <si>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</si>
  <si>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</si>
  <si>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</si>
  <si>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</si>
  <si>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</si>
  <si>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</si>
  <si>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</si>
  <si>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</si>
  <si>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</si>
  <si>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</si>
  <si>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</si>
  <si>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</si>
  <si>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</si>
  <si>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</si>
  <si>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</si>
  <si>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</si>
  <si>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</si>
  <si>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</si>
  <si>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</si>
  <si>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</si>
  <si>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</si>
  <si>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</si>
  <si>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</si>
  <si>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</si>
  <si>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</si>
  <si>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</si>
  <si>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</si>
  <si>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</si>
  <si>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</si>
  <si>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</si>
  <si>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</si>
  <si>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</si>
  <si>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</si>
  <si>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</si>
  <si>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</si>
  <si>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</si>
  <si>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</si>
  <si>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</si>
  <si>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</si>
  <si>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</si>
  <si>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</si>
  <si>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</si>
  <si>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</si>
  <si>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</si>
  <si>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</si>
  <si>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</si>
  <si>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</si>
  <si>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</si>
  <si>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</si>
  <si>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</si>
  <si>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</si>
  <si>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</si>
  <si>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</si>
  <si>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</si>
  <si>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</si>
  <si>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</si>
  <si>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</si>
  <si>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</si>
  <si>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</si>
  <si>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</si>
  <si>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</si>
  <si>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</si>
  <si>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</si>
  <si>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</si>
  <si>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</si>
  <si>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</si>
  <si>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</si>
  <si>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</si>
  <si>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</si>
  <si>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</si>
  <si>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</si>
  <si>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</si>
  <si>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</si>
  <si>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</si>
  <si>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</si>
  <si>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</si>
  <si>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</si>
  <si>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</si>
  <si>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</si>
  <si>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</si>
  <si>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</si>
  <si>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</si>
  <si>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</si>
  <si>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</si>
  <si>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</si>
  <si>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</si>
  <si>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</si>
  <si>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</si>
  <si>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</si>
  <si>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</si>
  <si>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</si>
  <si>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</si>
  <si>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</si>
  <si>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</si>
  <si>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</si>
  <si>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</si>
  <si>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</si>
  <si>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</si>
  <si>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</si>
  <si>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</si>
  <si>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</si>
  <si>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</si>
  <si>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</si>
  <si>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</si>
  <si>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</si>
  <si>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</si>
  <si>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</si>
  <si>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</si>
  <si>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</si>
  <si>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</si>
  <si>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</si>
  <si>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</si>
  <si>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</si>
  <si>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</si>
  <si>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</si>
  <si>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</si>
  <si>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</si>
  <si>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</si>
  <si>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</si>
  <si>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</si>
  <si>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</si>
  <si>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</si>
  <si>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</si>
  <si>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</si>
  <si>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</si>
  <si>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</si>
  <si>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</si>
  <si>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</si>
  <si>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</si>
  <si>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</si>
  <si>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</si>
  <si>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</si>
  <si>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</si>
  <si>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</si>
  <si>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</si>
  <si>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</si>
  <si>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</si>
  <si>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</si>
  <si>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</si>
  <si>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</si>
  <si>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</si>
  <si>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</si>
  <si>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</si>
  <si>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</si>
  <si>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</si>
  <si>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</si>
  <si>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</si>
  <si>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</si>
  <si>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</si>
  <si>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</si>
  <si>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</si>
  <si>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</si>
  <si>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</si>
  <si>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</si>
  <si>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</si>
  <si>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</si>
  <si>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</si>
  <si>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</si>
  <si>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</si>
  <si>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</si>
  <si>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</si>
  <si>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</si>
  <si>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</si>
  <si>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</si>
  <si>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</si>
  <si>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</si>
  <si>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</si>
  <si>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</si>
  <si>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</si>
  <si>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</si>
  <si>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</si>
  <si>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</si>
  <si>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</si>
  <si>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</si>
  <si>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</si>
  <si>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</si>
  <si>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</si>
  <si>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</si>
  <si>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</si>
  <si>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</si>
  <si>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</si>
  <si>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</si>
  <si>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</si>
  <si>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</si>
  <si>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</si>
  <si>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</si>
  <si>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</si>
  <si>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</si>
  <si>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</si>
  <si>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</si>
  <si>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</si>
  <si>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</si>
  <si>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</si>
  <si>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</si>
  <si>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</si>
  <si>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</si>
  <si>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</si>
  <si>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</si>
  <si>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</si>
  <si>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</si>
  <si>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</si>
  <si>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</si>
  <si>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</si>
  <si>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</si>
  <si>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</si>
  <si>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</si>
  <si>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</si>
  <si>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</si>
  <si>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</si>
  <si>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</si>
  <si>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</si>
  <si>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</si>
  <si>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</si>
  <si>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</si>
  <si>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</si>
  <si>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</si>
  <si>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</si>
  <si>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</si>
  <si>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</si>
  <si>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</si>
  <si>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</si>
  <si>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</si>
  <si>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</si>
  <si>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</si>
  <si>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</si>
  <si>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</si>
  <si>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</si>
  <si>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</si>
  <si>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</si>
  <si>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</si>
  <si>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</si>
  <si>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</si>
  <si>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</si>
  <si>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</si>
  <si>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</si>
  <si>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</si>
  <si>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</si>
  <si>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</si>
  <si>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</si>
  <si>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</si>
  <si>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</si>
  <si>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</si>
  <si>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</si>
  <si>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</si>
  <si>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</si>
  <si>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</si>
  <si>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</si>
  <si>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</si>
  <si>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</si>
  <si>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</si>
  <si>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</si>
  <si>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</si>
  <si>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</si>
  <si>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</si>
  <si>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</si>
  <si>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</si>
  <si>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</si>
  <si>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</si>
  <si>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</si>
  <si>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</si>
  <si>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</si>
  <si>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</si>
  <si>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</si>
  <si>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</si>
  <si>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</si>
  <si>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</si>
  <si>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</si>
  <si>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</si>
  <si>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</si>
  <si>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</si>
  <si>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</si>
  <si>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</si>
  <si>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</si>
  <si>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</si>
  <si>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</si>
  <si>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</si>
  <si>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</si>
  <si>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</si>
  <si>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</si>
  <si>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</si>
  <si>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</si>
  <si>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</si>
  <si>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</si>
  <si>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</si>
  <si>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</si>
  <si>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</si>
  <si>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</si>
  <si>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</si>
  <si>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</si>
  <si>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</si>
  <si>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</si>
  <si>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</si>
  <si>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</si>
  <si>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</si>
  <si>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</si>
  <si>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</si>
  <si>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</si>
  <si>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</si>
  <si>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</si>
  <si>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</si>
  <si>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</si>
  <si>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</si>
  <si>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</si>
  <si>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</si>
  <si>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</si>
  <si>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</si>
  <si>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</si>
  <si>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</si>
  <si>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</si>
  <si>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</si>
  <si>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</si>
  <si>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</si>
  <si>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</si>
  <si>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</si>
  <si>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</si>
  <si>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</si>
  <si>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</si>
  <si>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</si>
  <si>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</si>
  <si>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</si>
  <si>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</si>
  <si>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</si>
  <si>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</si>
  <si>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</si>
  <si>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</si>
  <si>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</si>
  <si>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</si>
  <si>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</si>
  <si>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</si>
  <si>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</si>
  <si>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</si>
  <si>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</si>
  <si>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</si>
  <si>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</si>
  <si>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</si>
  <si>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</si>
  <si>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</si>
  <si>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</si>
  <si>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</si>
  <si>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</si>
  <si>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</si>
  <si>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</si>
  <si>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</si>
  <si>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</si>
  <si>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</si>
  <si>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</si>
  <si>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</si>
  <si>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</si>
  <si>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</si>
  <si>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</si>
  <si>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</si>
  <si>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</si>
  <si>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</si>
  <si>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</si>
  <si>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</si>
  <si>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</si>
  <si>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</si>
  <si>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</si>
  <si>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</si>
  <si>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</si>
  <si>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</si>
  <si>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</si>
  <si>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</si>
  <si>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</si>
  <si>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</si>
  <si>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</si>
  <si>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</si>
  <si>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</si>
  <si>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</si>
  <si>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</si>
  <si>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</si>
  <si>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</si>
  <si>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</si>
  <si>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</si>
  <si>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</si>
  <si>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</si>
  <si>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</si>
  <si>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</si>
  <si>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</si>
  <si>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</si>
  <si>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</si>
  <si>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</si>
  <si>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</si>
  <si>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</si>
  <si>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</si>
  <si>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</si>
  <si>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</si>
  <si>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</si>
  <si>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</si>
  <si>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</si>
  <si>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</si>
  <si>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</si>
  <si>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</si>
  <si>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</si>
  <si>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</si>
  <si>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</si>
  <si>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</si>
  <si>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</si>
  <si>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</si>
  <si>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</si>
  <si>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</si>
  <si>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</si>
  <si>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</si>
  <si>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</si>
  <si>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</si>
  <si>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</si>
  <si>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</si>
  <si>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</si>
  <si>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</si>
  <si>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</si>
  <si>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</si>
  <si>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</si>
  <si>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</si>
  <si>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</si>
  <si>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</si>
  <si>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</si>
  <si>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</si>
  <si>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</si>
  <si>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</si>
  <si>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</si>
  <si>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</si>
  <si>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</si>
  <si>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</si>
  <si>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</si>
  <si>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</si>
  <si>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</si>
  <si>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</si>
  <si>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</si>
  <si>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</si>
  <si>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</si>
  <si>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</si>
  <si>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</si>
  <si>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</si>
  <si>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</si>
  <si>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</si>
  <si>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</si>
  <si>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</si>
  <si>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</si>
  <si>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</si>
  <si>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</si>
  <si>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</si>
  <si>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</si>
  <si>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</si>
  <si>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</si>
  <si>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</si>
  <si>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</si>
  <si>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</si>
  <si>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</si>
  <si>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</si>
  <si>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</si>
  <si>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</si>
  <si>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</si>
  <si>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</si>
  <si>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</si>
  <si>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</si>
  <si>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</si>
  <si>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</si>
  <si>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</si>
  <si>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</si>
  <si>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</si>
  <si>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</si>
  <si>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</si>
  <si>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</si>
  <si>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</si>
  <si>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</si>
  <si>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</si>
  <si>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</si>
  <si>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</si>
  <si>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</si>
  <si>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</si>
  <si>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</si>
  <si>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</si>
  <si>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</si>
  <si>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</si>
  <si>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</si>
  <si>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</si>
  <si>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</si>
  <si>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</si>
  <si>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</si>
  <si>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</si>
  <si>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</si>
  <si>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</si>
  <si>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</si>
  <si>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</si>
  <si>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</si>
  <si>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</si>
  <si>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</si>
  <si>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</si>
  <si>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</si>
  <si>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</si>
  <si>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</si>
  <si>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</si>
  <si>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</si>
  <si>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</si>
  <si>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</si>
  <si>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</si>
  <si>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</si>
  <si>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</si>
  <si>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</si>
  <si>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</si>
  <si>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</si>
  <si>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</si>
  <si>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</si>
  <si>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</si>
  <si>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</si>
  <si>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</si>
  <si>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</si>
  <si>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</si>
  <si>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</si>
  <si>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</si>
  <si>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</si>
  <si>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</si>
  <si>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</si>
  <si>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</si>
  <si>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</si>
  <si>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</si>
  <si>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</si>
  <si>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</si>
  <si>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</si>
  <si>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</si>
  <si>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</si>
  <si>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</si>
  <si>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</si>
  <si>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</si>
  <si>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</si>
  <si>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</si>
  <si>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</si>
  <si>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</si>
  <si>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</si>
  <si>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</si>
  <si>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</si>
  <si>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</si>
  <si>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</si>
  <si>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</si>
  <si>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</si>
  <si>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</si>
  <si>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</si>
  <si>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</si>
  <si>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</si>
  <si>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</si>
  <si>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</si>
  <si>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</si>
  <si>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</si>
  <si>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</si>
  <si>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</si>
  <si>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</si>
  <si>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</si>
  <si>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</si>
  <si>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</si>
  <si>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</si>
  <si>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</si>
  <si>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</si>
  <si>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</si>
  <si>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</si>
  <si>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</si>
  <si>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</si>
  <si>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</si>
  <si>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</si>
  <si>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</si>
  <si>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</si>
  <si>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</si>
  <si>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</si>
  <si>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</si>
  <si>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</si>
  <si>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</si>
  <si>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</si>
  <si>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</si>
  <si>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</si>
  <si>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</si>
  <si>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</si>
  <si>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</si>
  <si>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</si>
  <si>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</si>
  <si>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</si>
  <si>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</si>
  <si>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</si>
  <si>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</si>
  <si>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</si>
  <si>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</si>
  <si>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</si>
  <si>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</si>
  <si>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</si>
  <si>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</si>
  <si>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</si>
  <si>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</si>
  <si>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</si>
  <si>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</si>
  <si>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</si>
  <si>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</si>
  <si>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</si>
  <si>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</si>
  <si>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</si>
  <si>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</si>
  <si>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</si>
  <si>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</si>
  <si>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</si>
  <si>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</si>
  <si>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</si>
  <si>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</si>
  <si>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</si>
  <si>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</si>
  <si>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</si>
  <si>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</si>
  <si>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</si>
  <si>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</si>
  <si>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</si>
  <si>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</si>
  <si>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</si>
  <si>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</si>
  <si>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</si>
  <si>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</si>
  <si>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</si>
  <si>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</si>
  <si>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</si>
  <si>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</si>
  <si>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</si>
  <si>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</si>
  <si>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</si>
  <si>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</si>
  <si>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</si>
  <si>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</si>
  <si>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</si>
  <si>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</si>
  <si>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</si>
  <si>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</si>
  <si>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</si>
  <si>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</si>
  <si>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</si>
  <si>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</si>
  <si>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</si>
  <si>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</si>
  <si>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</si>
  <si>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</si>
  <si>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</si>
  <si>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</si>
  <si>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</si>
  <si>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</si>
  <si>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</si>
  <si>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</si>
  <si>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</si>
  <si>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</si>
  <si>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</si>
  <si>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</si>
  <si>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</si>
  <si>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</si>
  <si>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</si>
  <si>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</si>
  <si>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</si>
  <si>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</si>
  <si>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</si>
  <si>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</si>
  <si>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</si>
  <si>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</si>
  <si>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</si>
  <si>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</si>
  <si>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</si>
  <si>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</si>
  <si>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</si>
  <si>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</si>
  <si>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</si>
  <si>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</si>
  <si>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</si>
  <si>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</si>
  <si>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</si>
  <si>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</si>
  <si>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</si>
  <si>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</si>
  <si>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</si>
  <si>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</si>
  <si>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</si>
  <si>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</si>
  <si>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</si>
  <si>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</si>
  <si>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</si>
  <si>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</si>
  <si>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</si>
  <si>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</si>
  <si>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</si>
  <si>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</si>
  <si>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</si>
  <si>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</si>
  <si>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</si>
  <si>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</si>
  <si>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</si>
  <si>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</si>
  <si>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</si>
  <si>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</si>
  <si>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</si>
  <si>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</si>
  <si>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</si>
  <si>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</si>
  <si>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</si>
  <si>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</si>
  <si>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</si>
  <si>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</si>
  <si>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</si>
  <si>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</si>
  <si>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</si>
  <si>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</si>
  <si>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</si>
  <si>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</si>
  <si>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</si>
  <si>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</si>
  <si>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</si>
  <si>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</si>
  <si>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</si>
  <si>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</si>
  <si>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</si>
  <si>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</si>
  <si>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</si>
  <si>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</si>
  <si>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</si>
  <si>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</si>
  <si>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</si>
  <si>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</si>
  <si>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</si>
  <si>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</si>
  <si>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</si>
  <si>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</si>
  <si>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</si>
  <si>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</si>
  <si>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</si>
  <si>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</si>
  <si>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</si>
  <si>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</si>
  <si>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</si>
  <si>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</si>
  <si>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</si>
  <si>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</si>
  <si>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</si>
  <si>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</si>
  <si>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</si>
  <si>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</si>
  <si>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</si>
  <si>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</si>
  <si>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</si>
  <si>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</si>
  <si>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</si>
  <si>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</si>
  <si>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</si>
  <si>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</si>
  <si>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</si>
  <si>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</si>
  <si>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</si>
  <si>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</si>
  <si>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</si>
  <si>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</si>
  <si>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</si>
  <si>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</si>
  <si>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</si>
  <si>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</si>
  <si>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</si>
  <si>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</si>
  <si>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</si>
  <si>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</si>
  <si>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</si>
  <si>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</si>
  <si>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</si>
  <si>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</si>
  <si>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</si>
  <si>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</si>
  <si>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</si>
  <si>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</si>
  <si>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</si>
  <si>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</si>
  <si>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</si>
  <si>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</si>
  <si>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</si>
  <si>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</si>
  <si>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</si>
  <si>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</si>
  <si>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</si>
  <si>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</si>
  <si>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</si>
  <si>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</si>
  <si>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</si>
  <si>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</si>
  <si>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</si>
  <si>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</si>
  <si>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</si>
  <si>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</si>
  <si>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</si>
  <si>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</si>
  <si>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</si>
  <si>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</si>
  <si>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</si>
  <si>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</si>
  <si>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</si>
  <si>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</si>
  <si>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</si>
  <si>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</si>
  <si>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</si>
  <si>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</si>
  <si>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</si>
  <si>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</si>
  <si>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</si>
  <si>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</si>
  <si>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</si>
  <si>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</si>
  <si>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</si>
  <si>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</si>
  <si>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</si>
  <si>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</si>
  <si>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</si>
  <si>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</si>
  <si>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</si>
  <si>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</si>
  <si>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</si>
  <si>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</si>
  <si>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</si>
  <si>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</si>
  <si>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</si>
  <si>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</si>
  <si>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</si>
  <si>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</si>
  <si>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</si>
  <si>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</si>
  <si>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</si>
  <si>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</si>
  <si>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</si>
  <si>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</si>
  <si>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</si>
  <si>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</si>
  <si>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</si>
  <si>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</si>
  <si>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</si>
  <si>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</si>
  <si>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</si>
  <si>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</si>
  <si>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</si>
  <si>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</si>
  <si>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</si>
  <si>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</si>
  <si>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</si>
  <si>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</si>
  <si>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</si>
  <si>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</si>
  <si>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</si>
  <si>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</si>
  <si>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</si>
  <si>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</si>
  <si>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</si>
  <si>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</si>
  <si>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</si>
  <si>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</si>
  <si>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</si>
  <si>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</si>
  <si>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</si>
  <si>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</si>
  <si>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</si>
  <si>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</si>
  <si>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</si>
  <si>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</si>
  <si>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</si>
  <si>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</si>
  <si>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</si>
  <si>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</si>
  <si>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</si>
  <si>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</si>
  <si>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</si>
  <si>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</si>
  <si>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</si>
  <si>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</si>
  <si>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</si>
  <si>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</si>
  <si>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</si>
  <si>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</si>
  <si>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</si>
  <si>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</si>
  <si>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</si>
  <si>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</si>
  <si>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</si>
  <si>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</si>
  <si>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</si>
  <si>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</si>
  <si>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</si>
  <si>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</si>
  <si>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</si>
  <si>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</si>
  <si>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</si>
  <si>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</si>
  <si>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</si>
  <si>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</si>
  <si>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</si>
  <si>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</si>
  <si>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</si>
  <si>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</si>
  <si>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</si>
  <si>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</si>
  <si>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</si>
  <si>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</si>
  <si>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</si>
  <si>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</si>
  <si>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</si>
  <si>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</si>
  <si>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</si>
  <si>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</si>
  <si>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</si>
  <si>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</si>
  <si>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</si>
  <si>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</si>
  <si>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</si>
  <si>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</si>
  <si>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</si>
  <si>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</si>
  <si>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</si>
  <si>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</si>
  <si>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</si>
  <si>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</si>
  <si>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</si>
  <si>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</si>
  <si>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</si>
  <si>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</si>
  <si>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</si>
  <si>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</si>
  <si>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</si>
  <si>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</si>
  <si>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</si>
  <si>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</si>
  <si>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</si>
  <si>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</si>
  <si>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</si>
  <si>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</si>
  <si>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</si>
  <si>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</si>
  <si>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</si>
  <si>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</si>
  <si>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</si>
  <si>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</si>
  <si>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</si>
  <si>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</si>
  <si>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</si>
  <si>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</si>
  <si>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</si>
  <si>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</si>
  <si>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</si>
  <si>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</si>
  <si>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</si>
  <si>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</si>
  <si>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</si>
  <si>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</si>
  <si>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</si>
  <si>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</si>
  <si>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</si>
  <si>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</si>
  <si>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</si>
  <si>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</si>
  <si>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</si>
  <si>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</si>
  <si>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</si>
  <si>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</si>
  <si>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</si>
  <si>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</si>
  <si>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</si>
  <si>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</si>
  <si>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</si>
  <si>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</si>
  <si>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</si>
  <si>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</si>
  <si>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</si>
  <si>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</si>
  <si>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</si>
  <si>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</si>
  <si>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</si>
  <si>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</si>
  <si>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</si>
  <si>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</si>
  <si>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</si>
  <si>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</si>
  <si>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</si>
  <si>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</si>
  <si>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</si>
  <si>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</si>
  <si>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</si>
  <si>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</si>
  <si>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</si>
  <si>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</si>
  <si>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</si>
  <si>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</si>
  <si>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</si>
  <si>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</si>
  <si>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</si>
  <si>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</si>
  <si>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</si>
  <si>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</si>
  <si>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</si>
  <si>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</si>
  <si>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</si>
  <si>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</si>
  <si>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</si>
  <si>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</si>
  <si>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</si>
  <si>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</si>
  <si>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</si>
  <si>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</si>
  <si>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</si>
  <si>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</si>
  <si>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</si>
  <si>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</si>
  <si>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</si>
  <si>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</si>
  <si>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</si>
  <si>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</si>
  <si>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</si>
  <si>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</si>
  <si>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</si>
  <si>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</si>
  <si>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</si>
  <si>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</si>
  <si>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</si>
  <si>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</si>
  <si>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</si>
  <si>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</si>
  <si>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</si>
  <si>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</si>
  <si>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</si>
  <si>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</si>
  <si>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</si>
  <si>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</si>
  <si>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</si>
  <si>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</si>
  <si>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</si>
  <si>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</si>
  <si>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</si>
  <si>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</si>
  <si>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</si>
  <si>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</si>
  <si>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</si>
  <si>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</si>
  <si>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</si>
  <si>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</si>
  <si>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</si>
  <si>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</si>
  <si>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</si>
  <si>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</si>
  <si>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</si>
  <si>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</si>
  <si>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</si>
  <si>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</si>
  <si>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</si>
  <si>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</si>
  <si>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</si>
  <si>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</si>
  <si>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</si>
  <si>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</si>
  <si>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</si>
  <si>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</si>
  <si>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</si>
  <si>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</si>
  <si>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</si>
  <si>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</si>
  <si>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</si>
  <si>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</si>
  <si>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</si>
  <si>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</si>
  <si>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</si>
  <si>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</si>
  <si>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</si>
  <si>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</si>
  <si>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</si>
  <si>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</si>
  <si>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</si>
  <si>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</si>
  <si>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</si>
  <si>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</si>
  <si>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</si>
  <si>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</si>
  <si>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</si>
  <si>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</si>
  <si>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</si>
  <si>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</si>
  <si>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</si>
  <si>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</si>
  <si>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</si>
  <si>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</si>
  <si>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</si>
  <si>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</si>
  <si>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</si>
  <si>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</si>
  <si>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</si>
  <si>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</si>
  <si>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</si>
  <si>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</si>
  <si>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</si>
  <si>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</si>
  <si>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</si>
  <si>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</si>
  <si>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</si>
  <si>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</si>
  <si>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</si>
  <si>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</si>
  <si>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</si>
  <si>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</si>
  <si>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</si>
  <si>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</si>
  <si>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</si>
  <si>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</si>
  <si>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</si>
  <si>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</si>
  <si>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</si>
  <si>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</si>
  <si>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</si>
  <si>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</si>
  <si>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</si>
  <si>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</si>
  <si>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</si>
  <si>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</si>
  <si>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</si>
  <si>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</si>
  <si>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</si>
  <si>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</si>
  <si>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</si>
  <si>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</si>
  <si>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</si>
  <si>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</si>
  <si>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</si>
  <si>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</si>
  <si>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</si>
  <si>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</si>
  <si>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</si>
  <si>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</si>
  <si>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</si>
  <si>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</si>
  <si>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</si>
  <si>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</si>
  <si>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</si>
  <si>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</si>
  <si>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</si>
  <si>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</si>
  <si>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</si>
  <si>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</si>
  <si>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</si>
  <si>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</si>
  <si>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</si>
  <si>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</si>
  <si>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</si>
  <si>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</si>
  <si>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</si>
  <si>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</si>
  <si>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</si>
  <si>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</si>
  <si>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</si>
  <si>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</si>
  <si>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</si>
  <si>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</si>
  <si>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</si>
  <si>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</si>
  <si>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</si>
  <si>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</si>
  <si>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</si>
  <si>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</si>
  <si>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</si>
  <si>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</si>
  <si>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</si>
  <si>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</si>
  <si>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</si>
  <si>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</si>
  <si>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</si>
  <si>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</si>
  <si>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</si>
  <si>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</si>
  <si>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</si>
  <si>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</si>
  <si>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</si>
  <si>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</si>
  <si>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</si>
  <si>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</si>
  <si>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</si>
  <si>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</si>
  <si>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</si>
  <si>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</si>
  <si>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</si>
  <si>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</si>
  <si>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</si>
  <si>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</si>
  <si>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</si>
  <si>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</si>
  <si>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</si>
  <si>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</si>
  <si>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</si>
  <si>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</si>
  <si>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</si>
  <si>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</si>
  <si>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</si>
  <si>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</si>
  <si>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</si>
  <si>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</si>
  <si>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</si>
  <si>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</si>
  <si>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</si>
  <si>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</si>
  <si>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</si>
  <si>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</si>
  <si>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</si>
  <si>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</si>
  <si>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</si>
  <si>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</si>
  <si>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</si>
  <si>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</si>
  <si>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</si>
  <si>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</si>
  <si>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</si>
  <si>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</si>
  <si>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</si>
  <si>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</si>
  <si>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</si>
  <si>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</si>
  <si>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</si>
  <si>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</si>
  <si>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</si>
  <si>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</si>
  <si>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</si>
  <si>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</si>
  <si>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</si>
  <si>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</si>
  <si>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</si>
  <si>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</si>
  <si>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</si>
  <si>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</si>
  <si>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</si>
  <si>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</si>
  <si>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</si>
  <si>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</si>
  <si>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</si>
  <si>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</si>
  <si>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</si>
  <si>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</si>
  <si>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</si>
  <si>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</si>
  <si>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</si>
  <si>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</si>
  <si>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</si>
  <si>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</si>
  <si>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</si>
  <si>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</si>
  <si>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</si>
  <si>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</si>
  <si>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</si>
  <si>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</si>
  <si>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</si>
  <si>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</si>
  <si>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</si>
  <si>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</si>
  <si>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</si>
  <si>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</si>
  <si>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</si>
  <si>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</si>
  <si>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</si>
  <si>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</si>
  <si>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</si>
  <si>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</si>
  <si>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</si>
  <si>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</si>
  <si>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</si>
  <si>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</si>
  <si>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</si>
  <si>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</si>
  <si>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</si>
  <si>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</si>
  <si>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</si>
  <si>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</si>
  <si>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</si>
  <si>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</si>
  <si>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</si>
  <si>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</si>
  <si>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</si>
  <si>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</si>
  <si>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</si>
  <si>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</si>
  <si>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</si>
  <si>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</si>
  <si>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</si>
  <si>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</si>
  <si>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</si>
  <si>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</si>
  <si>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</si>
  <si>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</si>
  <si>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</si>
  <si>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</si>
  <si>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</si>
  <si>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</si>
  <si>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</si>
  <si>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</si>
  <si>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</si>
  <si>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</si>
  <si>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</si>
  <si>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</si>
  <si>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</si>
  <si>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</si>
  <si>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</si>
  <si>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</si>
  <si>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</si>
  <si>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</si>
  <si>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</si>
  <si>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</si>
  <si>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</si>
  <si>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</si>
  <si>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</si>
  <si>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</si>
  <si>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</si>
  <si>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</si>
  <si>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</si>
  <si>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</si>
  <si>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</si>
  <si>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</si>
  <si>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</si>
  <si>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</si>
  <si>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</si>
  <si>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</si>
  <si>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</si>
  <si>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</si>
  <si>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</si>
  <si>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</si>
  <si>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</si>
  <si>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</si>
  <si>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</si>
  <si>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</si>
  <si>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</si>
  <si>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</si>
  <si>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</si>
  <si>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</si>
  <si>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</si>
  <si>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</si>
  <si>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</si>
  <si>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</si>
  <si>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</si>
  <si>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</si>
  <si>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</si>
  <si>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</si>
  <si>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</si>
  <si>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</si>
  <si>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</si>
  <si>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</si>
  <si>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</si>
  <si>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</si>
  <si>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</si>
  <si>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</si>
  <si>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</si>
  <si>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</si>
  <si>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</si>
  <si>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</si>
  <si>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</si>
  <si>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</si>
  <si>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</si>
  <si>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</si>
  <si>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</si>
  <si>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</si>
  <si>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</si>
  <si>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</si>
  <si>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</si>
  <si>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</si>
  <si>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</si>
  <si>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</si>
  <si>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</si>
  <si>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</si>
  <si>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</si>
  <si>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</si>
  <si>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</si>
  <si>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</si>
  <si>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</si>
  <si>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</si>
  <si>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</si>
  <si>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</si>
  <si>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</si>
  <si>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</si>
  <si>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</si>
  <si>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</si>
  <si>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</si>
  <si>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</si>
  <si>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</si>
  <si>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</si>
  <si>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</si>
  <si>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</si>
  <si>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</si>
  <si>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</si>
  <si>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</si>
  <si>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</si>
  <si>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</si>
  <si>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</si>
  <si>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</si>
  <si>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</si>
  <si>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</si>
  <si>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</si>
  <si>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</si>
  <si>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</si>
  <si>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</si>
  <si>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</si>
  <si>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</si>
  <si>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</si>
  <si>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</si>
  <si>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</si>
  <si>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</si>
  <si>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</si>
  <si>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</si>
  <si>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</si>
  <si>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</si>
  <si>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</si>
  <si>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</si>
  <si>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</si>
  <si>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</si>
  <si>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</si>
  <si>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</si>
  <si>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</si>
  <si>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</si>
  <si>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</si>
  <si>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</si>
  <si>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</si>
  <si>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</si>
  <si>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</si>
  <si>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</si>
  <si>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</si>
  <si>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</si>
  <si>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</si>
  <si>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</si>
  <si>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</si>
  <si>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</si>
  <si>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</si>
  <si>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</si>
  <si>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</si>
  <si>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</si>
  <si>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</si>
  <si>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</si>
  <si>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</si>
  <si>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</si>
  <si>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</si>
  <si>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</si>
  <si>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</si>
  <si>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</si>
  <si>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</si>
  <si>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</si>
  <si>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</si>
  <si>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</si>
  <si>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</si>
  <si>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</si>
  <si>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</si>
  <si>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</si>
  <si>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</si>
  <si>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</si>
  <si>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</si>
  <si>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</si>
  <si>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</si>
  <si>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</si>
  <si>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</si>
  <si>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</si>
  <si>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</si>
  <si>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</si>
  <si>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</si>
  <si>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</si>
  <si>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</si>
  <si>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</si>
  <si>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</si>
  <si>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</si>
  <si>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</si>
  <si>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</si>
  <si>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</si>
  <si>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</si>
  <si>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</si>
  <si>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</si>
  <si>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</si>
  <si>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</si>
  <si>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</si>
  <si>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</si>
  <si>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</si>
  <si>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</si>
  <si>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</si>
  <si>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</si>
  <si>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</si>
  <si>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</si>
  <si>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</si>
  <si>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</si>
  <si>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</si>
  <si>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</si>
  <si>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</si>
  <si>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</si>
  <si>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</si>
  <si>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</si>
  <si>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</si>
  <si>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</si>
  <si>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</si>
  <si>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</si>
  <si>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</si>
  <si>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</si>
  <si>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</si>
  <si>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</si>
  <si>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</si>
  <si>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</si>
  <si>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</si>
  <si>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</si>
  <si>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</si>
  <si>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</si>
  <si>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</si>
  <si>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</si>
  <si>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</si>
  <si>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</si>
  <si>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</si>
  <si>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</si>
  <si>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</si>
  <si>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</si>
  <si>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</si>
  <si>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</si>
  <si>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</si>
  <si>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</si>
  <si>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</si>
  <si>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</si>
  <si>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</si>
  <si>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</si>
  <si>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</si>
  <si>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</si>
  <si>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</si>
  <si>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</si>
  <si>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</si>
  <si>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</si>
  <si>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</si>
  <si>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</si>
  <si>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</si>
  <si>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</si>
  <si>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</si>
  <si>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</si>
  <si>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</si>
  <si>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</si>
  <si>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</si>
  <si>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</si>
  <si>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</si>
  <si>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</si>
  <si>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</si>
  <si>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</si>
  <si>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</si>
  <si>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</si>
  <si>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</si>
  <si>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</si>
  <si>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</si>
  <si>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</si>
  <si>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</si>
  <si>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</si>
  <si>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</si>
  <si>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</si>
  <si>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</si>
  <si>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</si>
  <si>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</si>
  <si>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</si>
  <si>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</si>
  <si>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</si>
  <si>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</si>
  <si>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</si>
  <si>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</si>
  <si>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</si>
  <si>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</si>
  <si>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</si>
  <si>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</si>
  <si>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</si>
  <si>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</si>
  <si>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</si>
  <si>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</si>
  <si>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</si>
  <si>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</si>
  <si>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</si>
  <si>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</si>
  <si>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</si>
  <si>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</si>
  <si>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</si>
  <si>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</si>
  <si>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</si>
  <si>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</si>
  <si>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</si>
  <si>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</si>
  <si>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</si>
  <si>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</si>
  <si>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</si>
  <si>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</si>
  <si>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</si>
  <si>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</si>
  <si>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</si>
  <si>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</si>
  <si>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</si>
  <si>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</si>
  <si>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</si>
  <si>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</si>
  <si>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</si>
  <si>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</si>
  <si>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</si>
  <si>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</si>
  <si>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</si>
  <si>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</si>
  <si>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</si>
  <si>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</si>
  <si>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</si>
  <si>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</si>
  <si>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</si>
  <si>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</si>
  <si>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</si>
  <si>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</si>
  <si>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</si>
  <si>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</si>
  <si>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</si>
  <si>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</si>
  <si>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</si>
  <si>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</si>
  <si>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</si>
  <si>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</si>
  <si>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</si>
  <si>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</si>
  <si>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</si>
  <si>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</si>
  <si>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</si>
  <si>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</si>
  <si>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</si>
  <si>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</si>
  <si>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</si>
  <si>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</si>
  <si>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</si>
  <si>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HUGUES TUPHILE</t>
  </si>
  <si>
    <t xml:space="preserve">JABRON</t>
  </si>
  <si>
    <t xml:space="preserve">JABRON A COMPS-SUR-ARTUBY</t>
  </si>
  <si>
    <t xml:space="preserve">06111555</t>
  </si>
  <si>
    <t xml:space="preserve">(Date)</t>
  </si>
  <si>
    <t xml:space="preserve">13/07/2016</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</si>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</sst>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false" showRowColHeaders="false" showZeros="true" rightToLeft="false" tabSelected="false" showOutlineSymbols="true" defaultGridColor="true" view="normal" topLeftCell="A1" colorId="64" zoomScale="115" zoomScaleNormal="115" zoomScalePageLayoutView="100" workbookViewId="0">
      <pane xSplit="0" ySplit="5" topLeftCell="A1063" activePane="bottomLeft" state="frozen"/>
      <selection pane="topLeft" activeCell="A1" activeCellId="0" sqref="A1"/>
      <selection pane="bottomLeft" activeCell="B1177" activeCellId="0" sqref="B1177"/>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85" zoomScaleNormal="85" zoomScalePageLayoutView="100" workbookViewId="0">
      <selection pane="topLeft" activeCell="A9" activeCellId="0" sqref="A9"/>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false" showRowColHeaders="false" showZeros="true" rightToLeft="false" tabSelected="false" showOutlineSymbols="true" defaultGridColor="true" view="normal" topLeftCell="A1" colorId="64" zoomScale="115" zoomScaleNormal="115" zoomScalePageLayoutView="100" workbookViewId="0">
      <pane xSplit="0" ySplit="5" topLeftCell="A6" activePane="bottomLeft" state="frozen"/>
      <selection pane="topLeft" activeCell="A1" activeCellId="0" sqref="A1"/>
      <selection pane="bottomLeft" activeCell="O9" activeCellId="0" sqref="O9"/>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false" showRowColHeaders="false" showZeros="true" rightToLeft="false" tabSelected="false" showOutlineSymbols="true" defaultGridColor="true" view="normal" topLeftCell="B1" colorId="64" zoomScale="115" zoomScaleNormal="115" zoomScalePageLayoutView="100" workbookViewId="0">
      <pane xSplit="0" ySplit="5" topLeftCell="A6" activePane="bottomLeft" state="frozen"/>
      <selection pane="topLeft" activeCell="B1" activeCellId="0" sqref="B1"/>
      <selection pane="bottomLeft" activeCell="M5" activeCellId="0" sqref="M5"/>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false" showRowColHeaders="false" showZeros="true" rightToLeft="false" tabSelected="true" showOutlineSymbols="true" defaultGridColor="true" view="normal" topLeftCell="A1" colorId="64" zoomScale="85" zoomScaleNormal="85" zoomScalePageLayoutView="100" workbookViewId="0">
      <selection pane="topLeft" activeCell="A23" activeCellId="0" sqref="A23"/>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12.6</v>
      </c>
      <c r="N5" s="324"/>
      <c r="O5" s="325" t="s">
        <v>936</v>
      </c>
      <c r="P5" s="326" t="n">
        <v>9.85714285714286</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45</v>
      </c>
      <c r="C7" s="342" t="n">
        <v>55</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11</v>
      </c>
      <c r="P8" s="356" t="n">
        <f aca="false">IF(ISERROR(AVERAGE(K23:K82)),"  ",AVERAGE(K23:K82))</f>
        <v>1.5</v>
      </c>
      <c r="Q8" s="357"/>
      <c r="R8" s="281"/>
      <c r="S8" s="281"/>
      <c r="T8" s="281"/>
      <c r="U8" s="281"/>
      <c r="V8" s="281"/>
      <c r="W8" s="295"/>
      <c r="X8" s="0"/>
      <c r="Y8" s="0"/>
      <c r="Z8" s="0"/>
    </row>
    <row r="9" customFormat="false" ht="12.75" hidden="false" customHeight="false" outlineLevel="0" collapsed="false">
      <c r="A9" s="314" t="s">
        <v>3400</v>
      </c>
      <c r="B9" s="358" t="n">
        <v>1</v>
      </c>
      <c r="C9" s="359" t="n">
        <v>1</v>
      </c>
      <c r="D9" s="360"/>
      <c r="E9" s="360"/>
      <c r="F9" s="361" t="n">
        <f aca="false">($B9*$B$7+$C9*$C$7)/100</f>
        <v>1</v>
      </c>
      <c r="G9" s="362"/>
      <c r="H9" s="317"/>
      <c r="I9" s="281"/>
      <c r="J9" s="363"/>
      <c r="K9" s="364"/>
      <c r="L9" s="347"/>
      <c r="M9" s="365"/>
      <c r="N9" s="355" t="s">
        <v>3401</v>
      </c>
      <c r="O9" s="356" t="n">
        <f aca="false">IF(ISERROR(STDEVP(J23:J82))," ",STDEVP(J23:J82))</f>
        <v>4</v>
      </c>
      <c r="P9" s="356" t="n">
        <f aca="false">IF(ISERROR(STDEVP(K23:K82)),"  ",STDEVP(K23:K82))</f>
        <v>0.763762615825973</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6</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4</v>
      </c>
      <c r="M13" s="381"/>
      <c r="N13" s="389" t="s">
        <v>3413</v>
      </c>
      <c r="O13" s="390" t="n">
        <f aca="false">COUNTIF(F23:F82,"&gt;0")</f>
        <v>15</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2</v>
      </c>
      <c r="M14" s="381"/>
      <c r="N14" s="392" t="s">
        <v>3416</v>
      </c>
      <c r="O14" s="393" t="n">
        <f aca="false">COUNTIF($J$23:$J$82,"&gt;-1")</f>
        <v>6</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3</v>
      </c>
      <c r="M15" s="381"/>
      <c r="N15" s="389" t="s">
        <v>3419</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0.4</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0.435</v>
      </c>
      <c r="C20" s="433" t="n">
        <f aca="false">SUM(C23:C82)</f>
        <v>0.88</v>
      </c>
      <c r="D20" s="434"/>
      <c r="E20" s="435" t="s">
        <v>3426</v>
      </c>
      <c r="F20" s="436" t="n">
        <f aca="false">($B20*$B$7+$C20*$C$7)/100</f>
        <v>0.67975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0.19575</v>
      </c>
      <c r="C21" s="444" t="n">
        <f aca="false">C20*C7/100</f>
        <v>0.484</v>
      </c>
      <c r="D21" s="445" t="s">
        <v>3429</v>
      </c>
      <c r="E21" s="446"/>
      <c r="F21" s="447" t="n">
        <f aca="false">B21+C21</f>
        <v>0.67975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78</v>
      </c>
      <c r="B23" s="472" t="n">
        <v>0.02</v>
      </c>
      <c r="C23" s="473" t="n">
        <v>0.01</v>
      </c>
      <c r="D23" s="474" t="str">
        <f aca="false">IF(ISERROR(VLOOKUP($A23,'liste reference'!$A$6:$B$1174,2,0)),IF(ISERROR(VLOOKUP($A23,'liste reference'!$B$6:$B$1174,1,0)),"",VLOOKUP($A23,'liste reference'!$B$6:$B$1174,1,0)),VLOOKUP($A23,'liste reference'!$A$6:$B$1174,2,0))</f>
        <v>Chaetophora sp.</v>
      </c>
      <c r="E23" s="475" t="e">
        <f aca="false">IF(D23="",0,VLOOKUP(D23,D$22:D22,1,0))</f>
        <v>#N/A</v>
      </c>
      <c r="F23" s="476" t="n">
        <f aca="false">IF(AND(OR(A23="",A23="!!!!!!"),B23="",C23=""),"",IF(OR(AND(B23="",C23=""),ISERROR(C23+B23)),"!!!",($B23*$B$7+$C23*$C$7)/100))</f>
        <v>0.0145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12</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Chaetophora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1117</v>
      </c>
      <c r="R23" s="484" t="n">
        <f aca="false">IF(ISTEXT(H23),"",(B23*$B$7/100)+(C23*$C$7/100))</f>
        <v>0.0145</v>
      </c>
      <c r="S23" s="485" t="n">
        <f aca="false">IF(OR(ISTEXT(H23),R23=0),"",IF(R23&lt;0.1,1,IF(R23&lt;1,2,IF(R23&lt;10,3,IF(R23&lt;50,4,IF(R23&gt;=50,5,""))))))</f>
        <v>1</v>
      </c>
      <c r="T23" s="485" t="n">
        <f aca="false">IF(ISERROR(S23*J23),0,S23*J23)</f>
        <v>12</v>
      </c>
      <c r="U23" s="485" t="n">
        <f aca="false">IF(ISERROR(S23*J23*K23),0,S23*J23*K23)</f>
        <v>24</v>
      </c>
      <c r="V23" s="485" t="n">
        <f aca="false">IF(ISERROR(S23*K23),0,S23*K23)</f>
        <v>2</v>
      </c>
      <c r="W23" s="486"/>
      <c r="X23" s="487"/>
      <c r="Y23" s="488" t="str">
        <f aca="false">IF(AND(ISNUMBER(F23),OR(A23="",A23="!!!!!!")),"!!!!!!",IF(A23="new.cod","NEWCOD",IF(AND((Z23=""),ISTEXT(A23),A23&lt;&gt;"!!!!!!"),A23,IF(Z23="","",INDEX('liste reference'!$A$6:$A$1174,Z23)))))</f>
        <v>CHESPX</v>
      </c>
      <c r="Z23" s="470" t="n">
        <f aca="false">IF(ISERROR(MATCH(A23,'liste reference'!$A$6:$A$1174,0)),IF(ISERROR(MATCH(A23,'liste reference'!$B$6:$B$1174,0)),"",(MATCH(A23,'liste reference'!$B$6:$B$1174,0))),(MATCH(A23,'liste reference'!$A$6:$A$1174,0)))</f>
        <v>14</v>
      </c>
    </row>
    <row r="24" customFormat="false" ht="12.75" hidden="false" customHeight="false" outlineLevel="0" collapsed="false">
      <c r="A24" s="489" t="s">
        <v>134</v>
      </c>
      <c r="B24" s="490"/>
      <c r="C24" s="491" t="n">
        <v>0.05</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0.0275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0.0275</v>
      </c>
      <c r="S24" s="485" t="n">
        <f aca="false">IF(OR(ISTEXT(H24),R24=0),"",IF(R24&lt;0.1,1,IF(R24&lt;1,2,IF(R24&lt;10,3,IF(R24&lt;50,4,IF(R24&gt;=50,5,""))))))</f>
        <v>1</v>
      </c>
      <c r="T24" s="485" t="n">
        <f aca="false">IF(ISERROR(S24*J24),0,S24*J24)</f>
        <v>6</v>
      </c>
      <c r="U24" s="485" t="n">
        <f aca="false">IF(ISERROR(S24*J24*K24),0,S24*J24*K24)</f>
        <v>6</v>
      </c>
      <c r="V24" s="501" t="n">
        <f aca="false">IF(ISERROR(S24*K24),0,S24*K24)</f>
        <v>1</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291</v>
      </c>
      <c r="B25" s="490"/>
      <c r="C25" s="491" t="n">
        <v>0.005</v>
      </c>
      <c r="D25" s="492" t="str">
        <f aca="false">IF(ISERROR(VLOOKUP($A25,'liste reference'!$A$6:$B$1174,2,0)),IF(ISERROR(VLOOKUP($A25,'liste reference'!$B$6:$B$1174,1,0)),"",VLOOKUP($A25,'liste reference'!$B$6:$B$1174,1,0)),VLOOKUP($A25,'liste reference'!$A$6:$B$1174,2,0))</f>
        <v>Nostoc sp.</v>
      </c>
      <c r="E25" s="493" t="e">
        <f aca="false">IF(D25="",0,VLOOKUP(D25,D$22:D24,1,0))</f>
        <v>#N/A</v>
      </c>
      <c r="F25" s="494" t="n">
        <f aca="false">IF(AND(OR(A25="",A25="!!!!!!"),B25="",C25=""),"",IF(OR(AND(B25="",C25=""),ISERROR(C25+B25)),"!!!",($B25*$B$7+$C25*$C$7)/100))</f>
        <v>0.00275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9</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Nostoc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1105</v>
      </c>
      <c r="R25" s="484" t="n">
        <f aca="false">IF(ISTEXT(H25),"",(B25*$B$7/100)+(C25*$C$7/100))</f>
        <v>0.00275</v>
      </c>
      <c r="S25" s="485" t="n">
        <f aca="false">IF(OR(ISTEXT(H25),R25=0),"",IF(R25&lt;0.1,1,IF(R25&lt;1,2,IF(R25&lt;10,3,IF(R25&lt;50,4,IF(R25&gt;=50,5,""))))))</f>
        <v>1</v>
      </c>
      <c r="T25" s="485" t="n">
        <f aca="false">IF(ISERROR(S25*J25),0,S25*J25)</f>
        <v>9</v>
      </c>
      <c r="U25" s="485" t="n">
        <f aca="false">IF(ISERROR(S25*J25*K25),0,S25*J25*K25)</f>
        <v>9</v>
      </c>
      <c r="V25" s="501" t="n">
        <f aca="false">IF(ISERROR(S25*K25),0,S25*K25)</f>
        <v>1</v>
      </c>
      <c r="W25" s="502"/>
      <c r="X25" s="503"/>
      <c r="Y25" s="488" t="str">
        <f aca="false">IF(AND(ISNUMBER(F25),OR(A25="",A25="!!!!!!")),"!!!!!!",IF(A25="new.cod","NEWCOD",IF(AND((Z25=""),ISTEXT(A25),A25&lt;&gt;"!!!!!!"),A25,IF(Z25="","",INDEX('liste reference'!$A$6:$A$1174,Z25)))))</f>
        <v>NOSSPX</v>
      </c>
      <c r="Z25" s="470" t="n">
        <f aca="false">IF(ISERROR(MATCH(A25,'liste reference'!$A$6:$A$1174,0)),IF(ISERROR(MATCH(A25,'liste reference'!$B$6:$B$1174,0)),"",(MATCH(A25,'liste reference'!$B$6:$B$1174,0))),(MATCH(A25,'liste reference'!$A$6:$A$1174,0)))</f>
        <v>84</v>
      </c>
    </row>
    <row r="26" customFormat="false" ht="12.75" hidden="false" customHeight="false" outlineLevel="0" collapsed="false">
      <c r="A26" s="489" t="s">
        <v>330</v>
      </c>
      <c r="B26" s="490" t="n">
        <v>0.4</v>
      </c>
      <c r="C26" s="491" t="n">
        <v>0.25</v>
      </c>
      <c r="D26" s="492" t="str">
        <f aca="false">IF(ISERROR(VLOOKUP($A26,'liste reference'!$A$6:$B$1174,2,0)),IF(ISERROR(VLOOKUP($A26,'liste reference'!$B$6:$B$1174,1,0)),"",VLOOKUP($A26,'liste reference'!$B$6:$B$1174,1,0)),VLOOKUP($A26,'liste reference'!$A$6:$B$1174,2,0))</f>
        <v>Rivularia sp.</v>
      </c>
      <c r="E26" s="493" t="e">
        <f aca="false">IF(D26="",0,VLOOKUP(D26,D$22:D25,1,0))</f>
        <v>#N/A</v>
      </c>
      <c r="F26" s="494" t="n">
        <f aca="false">IF(AND(OR(A26="",A26="!!!!!!"),B26="",C26=""),"",IF(OR(AND(B26="",C26=""),ISERROR(C26+B26)),"!!!",($B26*$B$7+$C26*$C$7)/100))</f>
        <v>0.3175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Rivularia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6300</v>
      </c>
      <c r="R26" s="484" t="n">
        <f aca="false">IF(ISTEXT(H26),"",(B26*$B$7/100)+(C26*$C$7/100))</f>
        <v>0.3175</v>
      </c>
      <c r="S26" s="485" t="n">
        <f aca="false">IF(OR(ISTEXT(H26),R26=0),"",IF(R26&lt;0.1,1,IF(R26&lt;1,2,IF(R26&lt;10,3,IF(R26&lt;50,4,IF(R26&gt;=50,5,""))))))</f>
        <v>2</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RIVSPX</v>
      </c>
      <c r="Z26" s="470" t="n">
        <f aca="false">IF(ISERROR(MATCH(A26,'liste reference'!$A$6:$A$1174,0)),IF(ISERROR(MATCH(A26,'liste reference'!$B$6:$B$1174,0)),"",(MATCH(A26,'liste reference'!$B$6:$B$1174,0))),(MATCH(A26,'liste reference'!$A$6:$A$1174,0)))</f>
        <v>96</v>
      </c>
    </row>
    <row r="27" customFormat="false" ht="12.75" hidden="false" customHeight="false" outlineLevel="0" collapsed="false">
      <c r="A27" s="489" t="s">
        <v>343</v>
      </c>
      <c r="B27" s="490" t="n">
        <v>0.005</v>
      </c>
      <c r="C27" s="491" t="n">
        <v>0.25</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0.13975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0.13975</v>
      </c>
      <c r="S27" s="485" t="n">
        <f aca="false">IF(OR(ISTEXT(H27),R27=0),"",IF(R27&lt;0.1,1,IF(R27&lt;1,2,IF(R27&lt;10,3,IF(R27&lt;50,4,IF(R27&gt;=50,5,""))))))</f>
        <v>2</v>
      </c>
      <c r="T27" s="485" t="n">
        <f aca="false">IF(ISERROR(S27*J27),0,S27*J27)</f>
        <v>20</v>
      </c>
      <c r="U27" s="485" t="n">
        <f aca="false">IF(ISERROR(S27*J27*K27),0,S27*J27*K27)</f>
        <v>20</v>
      </c>
      <c r="V27" s="501" t="n">
        <f aca="false">IF(ISERROR(S27*K27),0,S27*K27)</f>
        <v>2</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376</v>
      </c>
      <c r="B28" s="490" t="n">
        <v>0.005</v>
      </c>
      <c r="C28" s="491"/>
      <c r="D28" s="492" t="str">
        <f aca="false">IF(ISERROR(VLOOKUP($A28,'liste reference'!$A$6:$B$1174,2,0)),IF(ISERROR(VLOOKUP($A28,'liste reference'!$B$6:$B$1174,1,0)),"",VLOOKUP($A28,'liste reference'!$B$6:$B$1174,1,0)),VLOOKUP($A28,'liste reference'!$A$6:$B$1174,2,0))</f>
        <v>Tolypothrix sp.</v>
      </c>
      <c r="E28" s="493" t="e">
        <f aca="false">IF(D28="",0,VLOOKUP(D28,D$22:D27,1,0))</f>
        <v>#N/A</v>
      </c>
      <c r="F28" s="494" t="n">
        <f aca="false">IF(AND(OR(A28="",A28="!!!!!!"),B28="",C28=""),"",IF(OR(AND(B28="",C28=""),ISERROR(C28+B28)),"!!!",($B28*$B$7+$C28*$C$7)/100))</f>
        <v>0.00225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Tolypothrix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6304</v>
      </c>
      <c r="R28" s="484" t="n">
        <f aca="false">IF(ISTEXT(H28),"",(B28*$B$7/100)+(C28*$C$7/100))</f>
        <v>0.00225</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TOYSPX</v>
      </c>
      <c r="Z28" s="470" t="n">
        <f aca="false">IF(ISERROR(MATCH(A28,'liste reference'!$A$6:$A$1174,0)),IF(ISERROR(MATCH(A28,'liste reference'!$B$6:$B$1174,0)),"",(MATCH(A28,'liste reference'!$B$6:$B$1174,0))),(MATCH(A28,'liste reference'!$A$6:$A$1174,0)))</f>
        <v>113</v>
      </c>
    </row>
    <row r="29" customFormat="false" ht="12.75" hidden="false" customHeight="false" outlineLevel="0" collapsed="false">
      <c r="A29" s="489" t="s">
        <v>471</v>
      </c>
      <c r="B29" s="490"/>
      <c r="C29" s="491" t="n">
        <v>0.005</v>
      </c>
      <c r="D29" s="492" t="str">
        <f aca="false">IF(ISERROR(VLOOKUP($A29,'liste reference'!$A$6:$B$1174,2,0)),IF(ISERROR(VLOOKUP($A29,'liste reference'!$B$6:$B$1174,1,0)),"",VLOOKUP($A29,'liste reference'!$B$6:$B$1174,1,0)),VLOOKUP($A29,'liste reference'!$A$6:$B$1174,2,0))</f>
        <v>Jungermannia exsertifolia</v>
      </c>
      <c r="E29" s="493" t="e">
        <f aca="false">IF(D29="",0,VLOOKUP(D29,D$22:D28,1,0))</f>
        <v>#N/A</v>
      </c>
      <c r="F29" s="494" t="n">
        <f aca="false">IF(AND(OR(A29="",A29="!!!!!!"),B29="",C29=""),"",IF(OR(AND(B29="",C29=""),ISERROR(C29+B29)),"!!!",($B29*$B$7+$C29*$C$7)/100))</f>
        <v>0.00275</v>
      </c>
      <c r="G29" s="495" t="str">
        <f aca="false">IF(A29="","",IF(ISERROR(VLOOKUP($A29,'liste reference'!$A$6:$Q$1174,9,0)),IF(ISERROR(VLOOKUP($A29,'liste reference'!$B$6:$Q$1174,8,0)),"    -",VLOOKUP($A29,'liste reference'!$B$6:$Q$1174,8,0)),VLOOKUP($A29,'liste reference'!$A$6:$Q$1174,9,0)))</f>
        <v>BRh</v>
      </c>
      <c r="H29" s="496" t="n">
        <f aca="false">IF(A29="","x",IF(ISERROR(VLOOKUP($A29,'liste reference'!$A$6:$Q$1174,10,0)),IF(ISERROR(VLOOKUP($A29,'liste reference'!$B$6:$Q$1174,9,0)),"x",VLOOKUP($A29,'liste reference'!$B$6:$Q$1174,9,0)),VLOOKUP($A29,'liste reference'!$A$6:$Q$1174,10,0)))</f>
        <v>4</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Jungermannia exsertifolia</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19821</v>
      </c>
      <c r="R29" s="484" t="n">
        <f aca="false">IF(ISTEXT(H29),"",(B29*$B$7/100)+(C29*$C$7/100))</f>
        <v>0.00275</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JUGEXS</v>
      </c>
      <c r="Z29" s="470" t="n">
        <f aca="false">IF(ISERROR(MATCH(A29,'liste reference'!$A$6:$A$1174,0)),IF(ISERROR(MATCH(A29,'liste reference'!$B$6:$B$1174,0)),"",(MATCH(A29,'liste reference'!$B$6:$B$1174,0))),(MATCH(A29,'liste reference'!$A$6:$A$1174,0)))</f>
        <v>143</v>
      </c>
    </row>
    <row r="30" customFormat="false" ht="12.75" hidden="false" customHeight="false" outlineLevel="0" collapsed="false">
      <c r="A30" s="489" t="s">
        <v>548</v>
      </c>
      <c r="B30" s="490"/>
      <c r="C30" s="491" t="n">
        <v>0.02</v>
      </c>
      <c r="D30" s="492" t="str">
        <f aca="false">IF(ISERROR(VLOOKUP($A30,'liste reference'!$A$6:$B$1174,2,0)),IF(ISERROR(VLOOKUP($A30,'liste reference'!$B$6:$B$1174,1,0)),"",VLOOKUP($A30,'liste reference'!$B$6:$B$1174,1,0)),VLOOKUP($A30,'liste reference'!$A$6:$B$1174,2,0))</f>
        <v>Pellia endiviifolia</v>
      </c>
      <c r="E30" s="493" t="e">
        <f aca="false">IF(D30="",0,VLOOKUP(D30,D$22:D29,1,0))</f>
        <v>#N/A</v>
      </c>
      <c r="F30" s="494" t="n">
        <f aca="false">IF(AND(OR(A30="",A30="!!!!!!"),B30="",C30=""),"",IF(OR(AND(B30="",C30=""),ISERROR(C30+B30)),"!!!",($B30*$B$7+$C30*$C$7)/100))</f>
        <v>0.011</v>
      </c>
      <c r="G30" s="495" t="str">
        <f aca="false">IF(A30="","",IF(ISERROR(VLOOKUP($A30,'liste reference'!$A$6:$Q$1174,9,0)),IF(ISERROR(VLOOKUP($A30,'liste reference'!$B$6:$Q$1174,8,0)),"    -",VLOOKUP($A30,'liste reference'!$B$6:$Q$1174,8,0)),VLOOKUP($A30,'liste reference'!$A$6:$Q$1174,9,0)))</f>
        <v>BRh</v>
      </c>
      <c r="H30" s="496" t="n">
        <f aca="false">IF(A30="","x",IF(ISERROR(VLOOKUP($A30,'liste reference'!$A$6:$Q$1174,10,0)),IF(ISERROR(VLOOKUP($A30,'liste reference'!$B$6:$Q$1174,9,0)),"x",VLOOKUP($A30,'liste reference'!$B$6:$Q$1174,9,0)),VLOOKUP($A30,'liste reference'!$A$6:$Q$1174,10,0)))</f>
        <v>4</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Pellia endiviifolia</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1197</v>
      </c>
      <c r="R30" s="484" t="n">
        <f aca="false">IF(ISTEXT(H30),"",(B30*$B$7/100)+(C30*$C$7/100))</f>
        <v>0.011</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PELEND</v>
      </c>
      <c r="Z30" s="470" t="n">
        <f aca="false">IF(ISERROR(MATCH(A30,'liste reference'!$A$6:$A$1174,0)),IF(ISERROR(MATCH(A30,'liste reference'!$B$6:$B$1174,0)),"",(MATCH(A30,'liste reference'!$B$6:$B$1174,0))),(MATCH(A30,'liste reference'!$A$6:$A$1174,0)))</f>
        <v>167</v>
      </c>
    </row>
    <row r="31" customFormat="false" ht="12.75" hidden="false" customHeight="false" outlineLevel="0" collapsed="false">
      <c r="A31" s="489" t="s">
        <v>814</v>
      </c>
      <c r="B31" s="490" t="n">
        <v>0.005</v>
      </c>
      <c r="C31" s="491" t="n">
        <v>0.2</v>
      </c>
      <c r="D31" s="492" t="str">
        <f aca="false">IF(ISERROR(VLOOKUP($A31,'liste reference'!$A$6:$B$1174,2,0)),IF(ISERROR(VLOOKUP($A31,'liste reference'!$B$6:$B$1174,1,0)),"",VLOOKUP($A31,'liste reference'!$B$6:$B$1174,1,0)),VLOOKUP($A31,'liste reference'!$A$6:$B$1174,2,0))</f>
        <v>Eucladium verticillatum</v>
      </c>
      <c r="E31" s="493" t="e">
        <f aca="false">IF(D31="",0,VLOOKUP(D31,D$22:D30,1,0))</f>
        <v>#N/A</v>
      </c>
      <c r="F31" s="494" t="n">
        <f aca="false">IF(AND(OR(A31="",A31="!!!!!!"),B31="",C31=""),"",IF(OR(AND(B31="",C31=""),ISERROR(C31+B31)),"!!!",($B31*$B$7+$C31*$C$7)/100))</f>
        <v>0.11225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Eucladium verticillatum</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19654</v>
      </c>
      <c r="R31" s="484" t="n">
        <f aca="false">IF(ISTEXT(H31),"",(B31*$B$7/100)+(C31*$C$7/100))</f>
        <v>0.11225</v>
      </c>
      <c r="S31" s="485" t="n">
        <f aca="false">IF(OR(ISTEXT(H31),R31=0),"",IF(R31&lt;0.1,1,IF(R31&lt;1,2,IF(R31&lt;10,3,IF(R31&lt;50,4,IF(R31&gt;=50,5,""))))))</f>
        <v>2</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EUCVER</v>
      </c>
      <c r="Z31" s="470" t="n">
        <f aca="false">IF(ISERROR(MATCH(A31,'liste reference'!$A$6:$A$1174,0)),IF(ISERROR(MATCH(A31,'liste reference'!$B$6:$B$1174,0)),"",(MATCH(A31,'liste reference'!$B$6:$B$1174,0))),(MATCH(A31,'liste reference'!$A$6:$A$1174,0)))</f>
        <v>249</v>
      </c>
    </row>
    <row r="32" customFormat="false" ht="12.75" hidden="false" customHeight="false" outlineLevel="0" collapsed="false">
      <c r="A32" s="489" t="s">
        <v>936</v>
      </c>
      <c r="B32" s="490"/>
      <c r="C32" s="491" t="n">
        <v>0.005</v>
      </c>
      <c r="D32" s="492" t="str">
        <f aca="false">IF(ISERROR(VLOOKUP($A32,'liste reference'!$A$6:$B$1174,2,0)),IF(ISERROR(VLOOKUP($A32,'liste reference'!$B$6:$B$1174,1,0)),"",VLOOKUP($A32,'liste reference'!$B$6:$B$1174,1,0)),VLOOKUP($A32,'liste reference'!$A$6:$B$1174,2,0))</f>
        <v>Hygrohypnum luridum</v>
      </c>
      <c r="E32" s="493" t="e">
        <f aca="false">IF(D32="",0,VLOOKUP(D32,D$22:D31,1,0))</f>
        <v>#N/A</v>
      </c>
      <c r="F32" s="494" t="n">
        <f aca="false">IF(AND(OR(A32="",A32="!!!!!!"),B32="",C32=""),"",IF(OR(AND(B32="",C32=""),ISERROR(C32+B32)),"!!!",($B32*$B$7+$C32*$C$7)/100))</f>
        <v>0.00275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19</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Hygrohypnum luridum</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1240</v>
      </c>
      <c r="R32" s="484" t="n">
        <f aca="false">IF(ISTEXT(H32),"",(B32*$B$7/100)+(C32*$C$7/100))</f>
        <v>0.00275</v>
      </c>
      <c r="S32" s="485" t="n">
        <f aca="false">IF(OR(ISTEXT(H32),R32=0),"",IF(R32&lt;0.1,1,IF(R32&lt;1,2,IF(R32&lt;10,3,IF(R32&lt;50,4,IF(R32&gt;=50,5,""))))))</f>
        <v>1</v>
      </c>
      <c r="T32" s="485" t="n">
        <f aca="false">IF(ISERROR(S32*J32),0,S32*J32)</f>
        <v>19</v>
      </c>
      <c r="U32" s="485" t="n">
        <f aca="false">IF(ISERROR(S32*J32*K32),0,S32*J32*K32)</f>
        <v>57</v>
      </c>
      <c r="V32" s="501" t="n">
        <f aca="false">IF(ISERROR(S32*K32),0,S32*K32)</f>
        <v>3</v>
      </c>
      <c r="W32" s="502"/>
      <c r="X32" s="503"/>
      <c r="Y32" s="488" t="str">
        <f aca="false">IF(AND(ISNUMBER(F32),OR(A32="",A32="!!!!!!")),"!!!!!!",IF(A32="new.cod","NEWCOD",IF(AND((Z32=""),ISTEXT(A32),A32&lt;&gt;"!!!!!!"),A32,IF(Z32="","",INDEX('liste reference'!$A$6:$A$1174,Z32)))))</f>
        <v>HYGLUR</v>
      </c>
      <c r="Z32" s="470" t="n">
        <f aca="false">IF(ISERROR(MATCH(A32,'liste reference'!$A$6:$A$1174,0)),IF(ISERROR(MATCH(A32,'liste reference'!$B$6:$B$1174,0)),"",(MATCH(A32,'liste reference'!$B$6:$B$1174,0))),(MATCH(A32,'liste reference'!$A$6:$A$1174,0)))</f>
        <v>287</v>
      </c>
    </row>
    <row r="33" customFormat="false" ht="12.75" hidden="false" customHeight="false" outlineLevel="0" collapsed="false">
      <c r="A33" s="489" t="s">
        <v>1255</v>
      </c>
      <c r="B33" s="490"/>
      <c r="C33" s="491" t="n">
        <v>0.005</v>
      </c>
      <c r="D33" s="492" t="str">
        <f aca="false">IF(ISERROR(VLOOKUP($A33,'liste reference'!$A$6:$B$1174,2,0)),IF(ISERROR(VLOOKUP($A33,'liste reference'!$B$6:$B$1174,1,0)),"",VLOOKUP($A33,'liste reference'!$B$6:$B$1174,1,0)),VLOOKUP($A33,'liste reference'!$A$6:$B$1174,2,0))</f>
        <v>Equisetum arvense</v>
      </c>
      <c r="E33" s="493" t="e">
        <f aca="false">IF(D33="",0,VLOOKUP(D33,D$22:D32,1,0))</f>
        <v>#N/A</v>
      </c>
      <c r="F33" s="494" t="n">
        <f aca="false">IF(AND(OR(A33="",A33="!!!!!!"),B33="",C33=""),"",IF(OR(AND(B33="",C33=""),ISERROR(C33+B33)),"!!!",($B33*$B$7+$C33*$C$7)/100))</f>
        <v>0.00275</v>
      </c>
      <c r="G33" s="495" t="str">
        <f aca="false">IF(A33="","",IF(ISERROR(VLOOKUP($A33,'liste reference'!$A$6:$Q$1174,9,0)),IF(ISERROR(VLOOKUP($A33,'liste reference'!$B$6:$Q$1174,8,0)),"    -",VLOOKUP($A33,'liste reference'!$B$6:$Q$1174,8,0)),VLOOKUP($A33,'liste reference'!$A$6:$Q$1174,9,0)))</f>
        <v>PTE</v>
      </c>
      <c r="H33" s="496" t="n">
        <f aca="false">IF(A33="","x",IF(ISERROR(VLOOKUP($A33,'liste reference'!$A$6:$Q$1174,10,0)),IF(ISERROR(VLOOKUP($A33,'liste reference'!$B$6:$Q$1174,9,0)),"x",VLOOKUP($A33,'liste reference'!$B$6:$Q$1174,9,0)),VLOOKUP($A33,'liste reference'!$A$6:$Q$1174,10,0)))</f>
        <v>6</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Equisetum arvense</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1384</v>
      </c>
      <c r="R33" s="484" t="n">
        <f aca="false">IF(ISTEXT(H33),"",(B33*$B$7/100)+(C33*$C$7/100))</f>
        <v>0.00275</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EQUARV</v>
      </c>
      <c r="Z33" s="470" t="n">
        <f aca="false">IF(ISERROR(MATCH(A33,'liste reference'!$A$6:$A$1174,0)),IF(ISERROR(MATCH(A33,'liste reference'!$B$6:$B$1174,0)),"",(MATCH(A33,'liste reference'!$B$6:$B$1174,0))),(MATCH(A33,'liste reference'!$A$6:$A$1174,0)))</f>
        <v>385</v>
      </c>
    </row>
    <row r="34" customFormat="false" ht="12.75" hidden="false" customHeight="false" outlineLevel="0" collapsed="false">
      <c r="A34" s="489" t="s">
        <v>1270</v>
      </c>
      <c r="B34" s="490"/>
      <c r="C34" s="491" t="n">
        <v>0.01</v>
      </c>
      <c r="D34" s="492" t="str">
        <f aca="false">IF(ISERROR(VLOOKUP($A34,'liste reference'!$A$6:$B$1174,2,0)),IF(ISERROR(VLOOKUP($A34,'liste reference'!$B$6:$B$1174,1,0)),"",VLOOKUP($A34,'liste reference'!$B$6:$B$1174,1,0)),VLOOKUP($A34,'liste reference'!$A$6:$B$1174,2,0))</f>
        <v>Equisetum ramosissimum</v>
      </c>
      <c r="E34" s="493" t="e">
        <f aca="false">IF(D34="",0,VLOOKUP(D34,D$22:D33,1,0))</f>
        <v>#N/A</v>
      </c>
      <c r="F34" s="494" t="n">
        <f aca="false">IF(AND(OR(A34="",A34="!!!!!!"),B34="",C34=""),"",IF(OR(AND(B34="",C34=""),ISERROR(C34+B34)),"!!!",($B34*$B$7+$C34*$C$7)/100))</f>
        <v>0.0055</v>
      </c>
      <c r="G34" s="495" t="str">
        <f aca="false">IF(A34="","",IF(ISERROR(VLOOKUP($A34,'liste reference'!$A$6:$Q$1174,9,0)),IF(ISERROR(VLOOKUP($A34,'liste reference'!$B$6:$Q$1174,8,0)),"    -",VLOOKUP($A34,'liste reference'!$B$6:$Q$1174,8,0)),VLOOKUP($A34,'liste reference'!$A$6:$Q$1174,9,0)))</f>
        <v>PTE</v>
      </c>
      <c r="H34" s="496" t="n">
        <f aca="false">IF(A34="","x",IF(ISERROR(VLOOKUP($A34,'liste reference'!$A$6:$Q$1174,10,0)),IF(ISERROR(VLOOKUP($A34,'liste reference'!$B$6:$Q$1174,9,0)),"x",VLOOKUP($A34,'liste reference'!$B$6:$Q$1174,9,0)),VLOOKUP($A34,'liste reference'!$A$6:$Q$1174,10,0)))</f>
        <v>6</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Equisetum ramosissimum</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29992</v>
      </c>
      <c r="R34" s="484" t="n">
        <f aca="false">IF(ISTEXT(H34),"",(B34*$B$7/100)+(C34*$C$7/100))</f>
        <v>0.0055</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EQURAM</v>
      </c>
      <c r="Z34" s="470" t="n">
        <f aca="false">IF(ISERROR(MATCH(A34,'liste reference'!$A$6:$A$1174,0)),IF(ISERROR(MATCH(A34,'liste reference'!$B$6:$B$1174,0)),"",(MATCH(A34,'liste reference'!$B$6:$B$1174,0))),(MATCH(A34,'liste reference'!$A$6:$A$1174,0)))</f>
        <v>390</v>
      </c>
    </row>
    <row r="35" customFormat="false" ht="12.75" hidden="false" customHeight="false" outlineLevel="0" collapsed="false">
      <c r="A35" s="489" t="s">
        <v>1932</v>
      </c>
      <c r="B35" s="490"/>
      <c r="C35" s="491" t="n">
        <v>0.05</v>
      </c>
      <c r="D35" s="492" t="str">
        <f aca="false">IF(ISERROR(VLOOKUP($A35,'liste reference'!$A$6:$B$1174,2,0)),IF(ISERROR(VLOOKUP($A35,'liste reference'!$B$6:$B$1174,1,0)),"",VLOOKUP($A35,'liste reference'!$B$6:$B$1174,1,0)),VLOOKUP($A35,'liste reference'!$A$6:$B$1174,2,0))</f>
        <v>Agrostis stolonifera</v>
      </c>
      <c r="E35" s="493" t="e">
        <f aca="false">IF(D35="",0,VLOOKUP(D35,D$22:D34,1,0))</f>
        <v>#N/A</v>
      </c>
      <c r="F35" s="494" t="n">
        <f aca="false">IF(AND(OR(A35="",A35="!!!!!!"),B35="",C35=""),"",IF(OR(AND(B35="",C35=""),ISERROR(C35+B35)),"!!!",($B35*$B$7+$C35*$C$7)/100))</f>
        <v>0.0275</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Agrostis stolonifera</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1543</v>
      </c>
      <c r="R35" s="484" t="n">
        <f aca="false">IF(ISTEXT(H35),"",(B35*$B$7/100)+(C35*$C$7/100))</f>
        <v>0.0275</v>
      </c>
      <c r="S35" s="485" t="n">
        <f aca="false">IF(OR(ISTEXT(H35),R35=0),"",IF(R35&lt;0.1,1,IF(R35&lt;1,2,IF(R35&lt;10,3,IF(R35&lt;50,4,IF(R35&gt;=50,5,""))))))</f>
        <v>1</v>
      </c>
      <c r="T35" s="485" t="n">
        <f aca="false">IF(ISERROR(S35*J35),0,S35*J35)</f>
        <v>10</v>
      </c>
      <c r="U35" s="485" t="n">
        <f aca="false">IF(ISERROR(S35*J35*K35),0,S35*J35*K35)</f>
        <v>10</v>
      </c>
      <c r="V35" s="501" t="n">
        <f aca="false">IF(ISERROR(S35*K35),0,S35*K35)</f>
        <v>1</v>
      </c>
      <c r="W35" s="502"/>
      <c r="X35" s="503"/>
      <c r="Y35" s="488" t="str">
        <f aca="false">IF(AND(ISNUMBER(F35),OR(A35="",A35="!!!!!!")),"!!!!!!",IF(A35="new.cod","NEWCOD",IF(AND((Z35=""),ISTEXT(A35),A35&lt;&gt;"!!!!!!"),A35,IF(Z35="","",INDEX('liste reference'!$A$6:$A$1174,Z35)))))</f>
        <v>AGRSTO</v>
      </c>
      <c r="Z35" s="470" t="n">
        <f aca="false">IF(ISERROR(MATCH(A35,'liste reference'!$A$6:$A$1174,0)),IF(ISERROR(MATCH(A35,'liste reference'!$B$6:$B$1174,0)),"",(MATCH(A35,'liste reference'!$B$6:$B$1174,0))),(MATCH(A35,'liste reference'!$A$6:$A$1174,0)))</f>
        <v>623</v>
      </c>
    </row>
    <row r="36" customFormat="false" ht="12.75" hidden="false" customHeight="false" outlineLevel="0" collapsed="false">
      <c r="A36" s="489" t="s">
        <v>2611</v>
      </c>
      <c r="B36" s="490"/>
      <c r="C36" s="491" t="n">
        <v>0.01</v>
      </c>
      <c r="D36" s="492" t="str">
        <f aca="false">IF(ISERROR(VLOOKUP($A36,'liste reference'!$A$6:$B$1174,2,0)),IF(ISERROR(VLOOKUP($A36,'liste reference'!$B$6:$B$1174,1,0)),"",VLOOKUP($A36,'liste reference'!$B$6:$B$1174,1,0)),VLOOKUP($A36,'liste reference'!$A$6:$B$1174,2,0))</f>
        <v>Juncus articulatus</v>
      </c>
      <c r="E36" s="493" t="e">
        <f aca="false">IF(D36="",0,VLOOKUP(D36,D$22:D35,1,0))</f>
        <v>#N/A</v>
      </c>
      <c r="F36" s="494" t="n">
        <f aca="false">IF(AND(OR(A36="",A36="!!!!!!"),B36="",C36=""),"",IF(OR(AND(B36="",C36=""),ISERROR(C36+B36)),"!!!",($B36*$B$7+$C36*$C$7)/100))</f>
        <v>0.0055</v>
      </c>
      <c r="G36" s="495" t="str">
        <f aca="false">IF(A36="","",IF(ISERROR(VLOOKUP($A36,'liste reference'!$A$6:$Q$1174,9,0)),IF(ISERROR(VLOOKUP($A36,'liste reference'!$B$6:$Q$1174,8,0)),"    -",VLOOKUP($A36,'liste reference'!$B$6:$Q$1174,8,0)),VLOOKUP($A36,'liste reference'!$A$6:$Q$1174,9,0)))</f>
        <v>PHg</v>
      </c>
      <c r="H36" s="496" t="n">
        <f aca="false">IF(A36="","x",IF(ISERROR(VLOOKUP($A36,'liste reference'!$A$6:$Q$1174,10,0)),IF(ISERROR(VLOOKUP($A36,'liste reference'!$B$6:$Q$1174,9,0)),"x",VLOOKUP($A36,'liste reference'!$B$6:$Q$1174,9,0)),VLOOKUP($A36,'liste reference'!$A$6:$Q$1174,10,0)))</f>
        <v>9</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Juncus articulatus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1609</v>
      </c>
      <c r="R36" s="484" t="n">
        <f aca="false">IF(ISTEXT(H36),"",(B36*$B$7/100)+(C36*$C$7/100))</f>
        <v>0.0055</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JUNART</v>
      </c>
      <c r="Z36" s="470" t="n">
        <f aca="false">IF(ISERROR(MATCH(A36,'liste reference'!$A$6:$A$1174,0)),IF(ISERROR(MATCH(A36,'liste reference'!$B$6:$B$1174,0)),"",(MATCH(A36,'liste reference'!$B$6:$B$1174,0))),(MATCH(A36,'liste reference'!$A$6:$A$1174,0)))</f>
        <v>873</v>
      </c>
    </row>
    <row r="37" customFormat="false" ht="12.75" hidden="false" customHeight="false" outlineLevel="0" collapsed="false">
      <c r="A37" s="489" t="s">
        <v>3252</v>
      </c>
      <c r="B37" s="490"/>
      <c r="C37" s="491" t="n">
        <v>0.01</v>
      </c>
      <c r="D37" s="492" t="str">
        <f aca="false">IF(ISERROR(VLOOKUP($A37,'liste reference'!$A$6:$B$1174,2,0)),IF(ISERROR(VLOOKUP($A37,'liste reference'!$B$6:$B$1174,1,0)),"",VLOOKUP($A37,'liste reference'!$B$6:$B$1174,1,0)),VLOOKUP($A37,'liste reference'!$A$6:$B$1174,2,0))</f>
        <v>Ranunculus repens</v>
      </c>
      <c r="E37" s="493" t="e">
        <f aca="false">IF(D37="",0,VLOOKUP(D37,D$22:D36,1,0))</f>
        <v>#N/A</v>
      </c>
      <c r="F37" s="494" t="n">
        <f aca="false">IF(AND(OR(A37="",A37="!!!!!!"),B37="",C37=""),"",IF(OR(AND(B37="",C37=""),ISERROR(C37+B37)),"!!!",($B37*$B$7+$C37*$C$7)/100))</f>
        <v>0.0055</v>
      </c>
      <c r="G37" s="495" t="str">
        <f aca="false">IF(A37="","",IF(ISERROR(VLOOKUP($A37,'liste reference'!$A$6:$Q$1174,9,0)),IF(ISERROR(VLOOKUP($A37,'liste reference'!$B$6:$Q$1174,8,0)),"    -",VLOOKUP($A37,'liste reference'!$B$6:$Q$1174,8,0)),VLOOKUP($A37,'liste reference'!$A$6:$Q$1174,9,0)))</f>
        <v>PHx</v>
      </c>
      <c r="H37" s="496" t="n">
        <f aca="false">IF(A37="","x",IF(ISERROR(VLOOKUP($A37,'liste reference'!$A$6:$Q$1174,10,0)),IF(ISERROR(VLOOKUP($A37,'liste reference'!$B$6:$Q$1174,9,0)),"x",VLOOKUP($A37,'liste reference'!$B$6:$Q$1174,9,0)),VLOOKUP($A37,'liste reference'!$A$6:$Q$1174,10,0)))</f>
        <v>10</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Ranunculus repens</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1910</v>
      </c>
      <c r="R37" s="484" t="n">
        <f aca="false">IF(ISTEXT(H37),"",(B37*$B$7/100)+(C37*$C$7/100))</f>
        <v>0.0055</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RANREP</v>
      </c>
      <c r="Z37" s="470" t="n">
        <f aca="false">IF(ISERROR(MATCH(A37,'liste reference'!$A$6:$A$1174,0)),IF(ISERROR(MATCH(A37,'liste reference'!$B$6:$B$1174,0)),"",(MATCH(A37,'liste reference'!$B$6:$B$1174,0))),(MATCH(A37,'liste reference'!$A$6:$A$1174,0)))</f>
        <v>1128</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0.67975</v>
      </c>
      <c r="G83" s="424"/>
      <c r="H83" s="424"/>
      <c r="I83" s="424"/>
      <c r="J83" s="424"/>
      <c r="K83" s="424"/>
      <c r="L83" s="424"/>
      <c r="M83" s="485"/>
      <c r="N83" s="485"/>
      <c r="O83" s="485"/>
      <c r="P83" s="485"/>
      <c r="Q83" s="485"/>
      <c r="R83" s="485"/>
      <c r="S83" s="485"/>
      <c r="T83" s="485"/>
      <c r="U83" s="485"/>
      <c r="V83" s="485" t="n">
        <f aca="false">SUM(V23:V82)</f>
        <v>10</v>
      </c>
      <c r="W83" s="485"/>
      <c r="X83" s="523"/>
      <c r="Y83" s="523"/>
      <c r="Z83" s="524"/>
    </row>
    <row r="84" customFormat="false" ht="12.75" hidden="true" customHeight="false" outlineLevel="0" collapsed="false">
      <c r="A84" s="518" t="str">
        <f aca="false">A3</f>
        <v>JABRON</v>
      </c>
      <c r="B84" s="453" t="str">
        <f aca="false">C3</f>
        <v>JABRON A COMPS-SUR-ARTUBY</v>
      </c>
      <c r="C84" s="525" t="str">
        <f aca="false">A4</f>
        <v>(Date)</v>
      </c>
      <c r="D84" s="526" t="n">
        <f aca="false">IF(OR(ISERROR(SUM($U$23:$U$82)/SUM($V$23:$V$82)),F7&lt;&gt;100),-1,SUM($U$23:$U$82)/SUM($V$23:$V$82))</f>
        <v>12.6</v>
      </c>
      <c r="E84" s="527" t="n">
        <f aca="false">O13</f>
        <v>15</v>
      </c>
      <c r="F84" s="453" t="n">
        <f aca="false">O14</f>
        <v>6</v>
      </c>
      <c r="G84" s="453" t="n">
        <f aca="false">O15</f>
        <v>4</v>
      </c>
      <c r="H84" s="453" t="n">
        <f aca="false">O16</f>
        <v>1</v>
      </c>
      <c r="I84" s="453" t="n">
        <f aca="false">O17</f>
        <v>1</v>
      </c>
      <c r="J84" s="528" t="n">
        <f aca="false">O8</f>
        <v>11</v>
      </c>
      <c r="K84" s="529" t="n">
        <f aca="false">O9</f>
        <v>4</v>
      </c>
      <c r="L84" s="530" t="n">
        <f aca="false">O10</f>
        <v>6</v>
      </c>
      <c r="M84" s="530" t="n">
        <f aca="false">O11</f>
        <v>19</v>
      </c>
      <c r="N84" s="529" t="n">
        <f aca="false">P8</f>
        <v>1.5</v>
      </c>
      <c r="O84" s="529" t="n">
        <f aca="false">P9</f>
        <v>0.763762615825973</v>
      </c>
      <c r="P84" s="530" t="n">
        <f aca="false">P10</f>
        <v>1</v>
      </c>
      <c r="Q84" s="530" t="n">
        <f aca="false">P11</f>
        <v>3</v>
      </c>
      <c r="R84" s="530" t="n">
        <f aca="false">F21</f>
        <v>0.67975</v>
      </c>
      <c r="S84" s="530" t="n">
        <f aca="false">L11</f>
        <v>0</v>
      </c>
      <c r="T84" s="530" t="n">
        <f aca="false">L12</f>
        <v>6</v>
      </c>
      <c r="U84" s="530" t="n">
        <f aca="false">L13</f>
        <v>4</v>
      </c>
      <c r="V84" s="531" t="n">
        <f aca="false">L15</f>
        <v>3</v>
      </c>
      <c r="W84" s="532" t="n">
        <f aca="false">L15</f>
        <v>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19</v>
      </c>
      <c r="U87" s="281"/>
      <c r="V87" s="281"/>
    </row>
    <row r="88" customFormat="false" ht="12.75" hidden="true" customHeight="false" outlineLevel="0" collapsed="false">
      <c r="C88" s="534"/>
      <c r="D88" s="534"/>
      <c r="E88" s="534"/>
      <c r="R88" s="281" t="s">
        <v>3453</v>
      </c>
      <c r="S88" s="281"/>
      <c r="T88" s="536" t="n">
        <f aca="false">VLOOKUP($T$91,($A$23:$U$82),21,0)</f>
        <v>57</v>
      </c>
      <c r="U88" s="281"/>
      <c r="V88" s="281" t="n">
        <f aca="false">COUNTIF(V23:V82,T89)</f>
        <v>1</v>
      </c>
    </row>
    <row r="89" customFormat="false" ht="12.75" hidden="true" customHeight="false" outlineLevel="0" collapsed="false">
      <c r="C89" s="534"/>
      <c r="D89" s="534"/>
      <c r="E89" s="534"/>
      <c r="R89" s="281" t="s">
        <v>3454</v>
      </c>
      <c r="S89" s="281"/>
      <c r="T89" s="536" t="n">
        <f aca="false">MAX($V$23:$V$82)</f>
        <v>3</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9.85714285714286</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HYGLUR</v>
      </c>
      <c r="U91" s="281" t="n">
        <f aca="false">IF(ISERROR(MATCH($T$93,'liste reference'!$A$6:$A$1174,0)),MATCH($T$93,'liste reference'!$B$6:$B$1174,0),(MATCH($T$93,'liste reference'!$A$6:$A$1174,0)))</f>
        <v>287</v>
      </c>
      <c r="V91" s="538"/>
    </row>
    <row r="92" customFormat="false" ht="12.75" hidden="true" customHeight="false" outlineLevel="0" collapsed="false">
      <c r="C92" s="534"/>
      <c r="D92" s="534"/>
      <c r="E92" s="534"/>
      <c r="R92" s="281" t="s">
        <v>3457</v>
      </c>
      <c r="S92" s="281"/>
      <c r="T92" s="281" t="n">
        <f aca="false">MATCH(T89,$V$23:$V$82,0)</f>
        <v>10</v>
      </c>
      <c r="U92" s="281"/>
    </row>
    <row r="93" customFormat="false" ht="12.75" hidden="true" customHeight="false" outlineLevel="0" collapsed="false">
      <c r="C93" s="534"/>
      <c r="D93" s="534"/>
      <c r="E93" s="534"/>
      <c r="R93" s="485" t="s">
        <v>3458</v>
      </c>
      <c r="S93" s="281"/>
      <c r="T93" s="485" t="str">
        <f aca="false">INDEX($A$23:$A$82,$T$92)</f>
        <v>HYGLUR</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25" right="0.25" top="0.75" bottom="0.75" header="0.511811023622047" footer="0.3"/>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false" showRowColHeaders="false" showZeros="true" rightToLeft="false" tabSelected="false" showOutlineSymbols="true" defaultGridColor="true" view="normal" topLeftCell="A1" colorId="64" zoomScale="85" zoomScaleNormal="85" zoomScalePageLayoutView="100" workbookViewId="0">
      <selection pane="topLeft" activeCell="A24" activeCellId="0" sqref="A24"/>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false" showRowColHeaders="false" showZeros="true" rightToLeft="false" tabSelected="false" showOutlineSymbols="true" defaultGridColor="true" view="normal" topLeftCell="A1" colorId="64" zoomScale="80" zoomScaleNormal="80" zoomScalePageLayoutView="100" workbookViewId="0">
      <selection pane="topLeft" activeCell="K13" activeCellId="0" sqref="K13"/>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vbou</cp:lastModifiedBy>
  <cp:lastPrinted>2017-02-01T15:43:52Z</cp:lastPrinted>
  <dcterms:modified xsi:type="dcterms:W3CDTF">2017-02-01T15:44:18Z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