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<sst xmlns="http://schemas.openxmlformats.org/spreadsheetml/2006/main" count="117" uniqueCount="112">
  <si>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</si>
  <si>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</si>
  <si>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</si>
  <si>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M.GAUTHIER</t>
  </si>
  <si>
    <t xml:space="preserve">conforme AFNOR T90-395 oct. 2003</t>
  </si>
  <si>
    <t xml:space="preserve">Rhône</t>
  </si>
  <si>
    <t xml:space="preserve">Rhône à Pierrelatte</t>
  </si>
  <si>
    <t xml:space="preserve">06113500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</si>
  <si>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</si>
  <si>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</si>
  <si>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</si>
  <si>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</si>
  <si>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</si>
  <si>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</si>
  <si>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</si>
  <si>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</si>
  <si>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</si>
  <si>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</si>
  <si>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</si>
  <si>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</si>
  <si>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</si>
  <si>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</si>
  <si>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</si>
  <si>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</si>
  <si>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</si>
  <si>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</si>
  <si>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</si>
  <si>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</si>
  <si>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</si>
  <si>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</si>
  <si>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</si>
  <si>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</si>
  <si>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</si>
  <si>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</si>
  <si>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</si>
  <si>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</si>
  <si>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</si>
  <si>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</si>
  <si>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</si>
  <si>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</si>
  <si>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</si>
  <si>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</si>
  <si>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</si>
  <si>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</si>
  <si>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</si>
  <si>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</si>
  <si>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</si>
  <si>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</si>
  <si>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</si>
  <si>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</si>
  <si>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</si>
  <si>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</si>
  <si>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</si>
  <si>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</si>
  <si>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</si>
  <si>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</si>
  <si>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</si>
  <si>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</si>
  <si>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</si>
  <si>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</si>
  <si>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</si>
  <si>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</si>
  <si>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</si>
  <si>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</si>
  <si>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</si>
  <si>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</si>
  <si>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</si>
  <si>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</si>
  <si>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</si>
  <si>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</si>
  <si>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</si>
  <si>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</si>
  <si>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</si>
  <si>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</si>
  <si>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</si>
  <si>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</si>
  <si>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</si>
  <si>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</si>
  <si>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</si>
  <si>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OEDSPX</t>
  </si>
  <si>
    <t xml:space="preserve">OSCSPX</t>
  </si>
  <si>
    <t xml:space="preserve">PHOSPX</t>
  </si>
  <si>
    <t xml:space="preserve">ULOSPX</t>
  </si>
  <si>
    <t xml:space="preserve">AMBRIP</t>
  </si>
  <si>
    <t xml:space="preserve">CINRIP</t>
  </si>
  <si>
    <t xml:space="preserve">EURHIA</t>
  </si>
  <si>
    <t xml:space="preserve">FONANT</t>
  </si>
  <si>
    <t xml:space="preserve">CERDEM</t>
  </si>
  <si>
    <t xml:space="preserve">ELONUT</t>
  </si>
  <si>
    <t xml:space="preserve">MYRSPI</t>
  </si>
  <si>
    <t xml:space="preserve">POTPEC</t>
  </si>
  <si>
    <t xml:space="preserve">CARACT</t>
  </si>
  <si>
    <t xml:space="preserve">CARSPX</t>
  </si>
  <si>
    <t xml:space="preserve">GLYAQU</t>
  </si>
  <si>
    <t xml:space="preserve">LUDPEP</t>
  </si>
  <si>
    <t xml:space="preserve">LYSVUL</t>
  </si>
  <si>
    <t xml:space="preserve">NASOFF</t>
  </si>
  <si>
    <t xml:space="preserve">PHAARU</t>
  </si>
  <si>
    <t xml:space="preserve">PHRAUS</t>
  </si>
  <si>
    <t xml:space="preserve">SPAERE</t>
  </si>
  <si>
    <t xml:space="preserve">VERANA</t>
  </si>
  <si>
    <t xml:space="preserve">POLSPX</t>
  </si>
  <si>
    <t xml:space="preserve">RORSPX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</si>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</sst>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PI_23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8.625</v>
      </c>
      <c r="M5" s="53"/>
      <c r="N5" s="54" t="s">
        <v>16</v>
      </c>
      <c r="O5" s="55" t="n">
        <v>8.2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89</v>
      </c>
      <c r="C7" s="67" t="n">
        <v>11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9.05555555555556</v>
      </c>
      <c r="O8" s="84" t="n">
        <f aca="false">IF(ISERROR(AVERAGE(J23:J82)),"      -",AVERAGE(J23:J82))</f>
        <v>1.61111111111111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</v>
      </c>
      <c r="C9" s="87" t="n">
        <v>5.03</v>
      </c>
      <c r="D9" s="88"/>
      <c r="E9" s="88"/>
      <c r="F9" s="89" t="n">
        <f aca="false">($B9*$B$7+$C9*$C$7)/100</f>
        <v>0.5533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3.20541594150037</v>
      </c>
      <c r="O9" s="84" t="n">
        <f aca="false">IF(ISERROR(STDEVP(J23:J82)),"      -",STDEVP(J23:J82))</f>
        <v>0.487498021521785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 t="n">
        <v>2.05</v>
      </c>
      <c r="D12" s="111"/>
      <c r="E12" s="111"/>
      <c r="F12" s="112" t="n">
        <f aca="false">($B12*$B$7+$C12*$C$7)/100</f>
        <v>0.2255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0.04</v>
      </c>
      <c r="D13" s="111"/>
      <c r="E13" s="111"/>
      <c r="F13" s="112" t="n">
        <f aca="false">($B13*$B$7+$C13*$C$7)/100</f>
        <v>0.0044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26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2.94</v>
      </c>
      <c r="D15" s="111"/>
      <c r="E15" s="111"/>
      <c r="F15" s="112" t="n">
        <f aca="false">($B15*$B$7+$C15*$C$7)/100</f>
        <v>0.3234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16</v>
      </c>
      <c r="L15" s="116"/>
      <c r="M15" s="137" t="s">
        <v>48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/>
      <c r="C17" s="119" t="n">
        <v>2.4</v>
      </c>
      <c r="D17" s="111"/>
      <c r="E17" s="111"/>
      <c r="F17" s="143"/>
      <c r="G17" s="112" t="n">
        <f aca="false">($B17*$B$7+$C17*$C$7)/100</f>
        <v>0.264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2.63</v>
      </c>
      <c r="D18" s="111"/>
      <c r="E18" s="147" t="s">
        <v>54</v>
      </c>
      <c r="F18" s="143"/>
      <c r="G18" s="112" t="n">
        <f aca="false">($B18*$B$7+$C18*$C$7)/100</f>
        <v>0.2893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0.5533</v>
      </c>
      <c r="G19" s="156" t="n">
        <f aca="false">SUM(G16:G18)</f>
        <v>0.5533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</v>
      </c>
      <c r="C20" s="166" t="n">
        <f aca="false">SUM(C23:C82)</f>
        <v>5.03</v>
      </c>
      <c r="D20" s="167"/>
      <c r="E20" s="168" t="s">
        <v>54</v>
      </c>
      <c r="F20" s="169" t="n">
        <f aca="false">($B20*$B$7+$C20*$C$7)/100</f>
        <v>0.5533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</v>
      </c>
      <c r="C21" s="179" t="n">
        <f aca="false">C20*C7/100</f>
        <v>0.5533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0.5533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</v>
      </c>
      <c r="C23" s="206" t="n">
        <v>1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0.11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0.11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0</v>
      </c>
      <c r="C24" s="225" t="n">
        <v>0.01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Hildenbrandia sp.</v>
      </c>
      <c r="E24" s="226" t="e">
        <f aca="false">IF(D24="",0,VLOOKUP(D24,D$22:D23,1,0))</f>
        <v>#N/A</v>
      </c>
      <c r="F24" s="227" t="n">
        <f aca="false">($B24*$B$7+$C24*$C$7)/100</f>
        <v>0.0011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Hildenbrandia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1157</v>
      </c>
      <c r="Q24" s="216" t="n">
        <f aca="false">IF(ISTEXT(H24),"",(B24*$B$7/100)+(C24*$C$7/100))</f>
        <v>0.0011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15</v>
      </c>
      <c r="T24" s="217" t="n">
        <f aca="false">IF(ISERROR(R24*I24*J24),0,R24*I24*J24)</f>
        <v>30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HILSPX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30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1.01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0.1111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6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1134</v>
      </c>
      <c r="Q25" s="216" t="n">
        <f aca="false">IF(ISTEXT(H25),"",(B25*$B$7/100)+(C25*$C$7/100))</f>
        <v>0.1111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12</v>
      </c>
      <c r="T25" s="217" t="n">
        <f aca="false">IF(ISERROR(R25*I25*J25),0,R25*I25*J25)</f>
        <v>24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OEDSPX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</v>
      </c>
      <c r="C26" s="225" t="n">
        <v>0.01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Oscillatoria sp.</v>
      </c>
      <c r="E26" s="226" t="e">
        <f aca="false">IF(D26="",0,VLOOKUP(D26,D$22:D25,1,0))</f>
        <v>#N/A</v>
      </c>
      <c r="F26" s="227" t="n">
        <f aca="false">($B26*$B$7+$C26*$C$7)/100</f>
        <v>0.0011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11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Oscillatoria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1108</v>
      </c>
      <c r="Q26" s="216" t="n">
        <f aca="false">IF(ISTEXT(H26),"",(B26*$B$7/100)+(C26*$C$7/100))</f>
        <v>0.0011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11</v>
      </c>
      <c r="T26" s="217" t="n">
        <f aca="false">IF(ISERROR(R26*I26*J26),0,R26*I26*J26)</f>
        <v>11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OSCSPX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56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</v>
      </c>
      <c r="C27" s="225" t="n">
        <v>0.01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Phormidium sp.</v>
      </c>
      <c r="E27" s="226" t="e">
        <f aca="false">IF(D27="",0,VLOOKUP(D27,D$22:D26,1,0))</f>
        <v>#N/A</v>
      </c>
      <c r="F27" s="227" t="n">
        <f aca="false">($B27*$B$7+$C27*$C$7)/100</f>
        <v>0.0011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Phormidium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6414</v>
      </c>
      <c r="Q27" s="216" t="n">
        <f aca="false">IF(ISTEXT(H27),"",(B27*$B$7/100)+(C27*$C$7/100))</f>
        <v>0.0011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13</v>
      </c>
      <c r="T27" s="217" t="n">
        <f aca="false">IF(ISERROR(R27*I27*J27),0,R27*I27*J27)</f>
        <v>26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PHOSPX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Ulothrix sp.</v>
      </c>
      <c r="E28" s="226" t="e">
        <f aca="false">IF(D28="",0,VLOOKUP(D28,D$22:D27,1,0))</f>
        <v>#N/A</v>
      </c>
      <c r="F28" s="227" t="n">
        <f aca="false">($B28*$B$7+$C28*$C$7)/100</f>
        <v>0.0011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Ulothrix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1142</v>
      </c>
      <c r="Q28" s="216" t="n">
        <f aca="false">IF(ISTEXT(H28),"",(B28*$B$7/100)+(C28*$C$7/100))</f>
        <v>0.0011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ULOSPX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81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0.01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Amblystegium riparium</v>
      </c>
      <c r="E29" s="226" t="e">
        <f aca="false">IF(D29="",0,VLOOKUP(D29,D$22:D28,1,0))</f>
        <v>#N/A</v>
      </c>
      <c r="F29" s="227" t="n">
        <f aca="false">($B29*$B$7+$C29*$C$7)/100</f>
        <v>0.0011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Amblystegium riparium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1219</v>
      </c>
      <c r="Q29" s="216" t="n">
        <f aca="false">IF(ISTEXT(H29),"",(B29*$B$7/100)+(C29*$C$7/100))</f>
        <v>0.0011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5</v>
      </c>
      <c r="T29" s="217" t="n">
        <f aca="false">IF(ISERROR(R29*I29*J29),0,R29*I29*J29)</f>
        <v>10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AMBRIP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</v>
      </c>
      <c r="C30" s="225" t="n">
        <v>0.01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Cinclidotus riparius</v>
      </c>
      <c r="E30" s="226" t="e">
        <f aca="false">IF(D30="",0,VLOOKUP(D30,D$22:D29,1,0))</f>
        <v>#N/A</v>
      </c>
      <c r="F30" s="227" t="n">
        <f aca="false">($B30*$B$7+$C30*$C$7)/100</f>
        <v>0.0011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13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Cinclidotus riparius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1321</v>
      </c>
      <c r="Q30" s="216" t="n">
        <f aca="false">IF(ISTEXT(H30),"",(B30*$B$7/100)+(C30*$C$7/100))</f>
        <v>0.0011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13</v>
      </c>
      <c r="T30" s="217" t="n">
        <f aca="false">IF(ISERROR(R30*I30*J30),0,R30*I30*J30)</f>
        <v>26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CINRIP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174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Eurhynchium hians</v>
      </c>
      <c r="E31" s="226" t="e">
        <f aca="false">IF(D31="",0,VLOOKUP(D31,D$22:D30,1,0))</f>
        <v>#N/A</v>
      </c>
      <c r="F31" s="227" t="n">
        <f aca="false">($B31*$B$7+$C31*$C$7)/100</f>
        <v>0.0011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Eurhynchium hians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19655</v>
      </c>
      <c r="Q31" s="216" t="n">
        <f aca="false">IF(ISTEXT(H31),"",(B31*$B$7/100)+(C31*$C$7/100))</f>
        <v>0.0011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EURHIA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192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</v>
      </c>
      <c r="C32" s="225" t="n">
        <v>0.01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Fontinalis antipyretica</v>
      </c>
      <c r="E32" s="226" t="e">
        <f aca="false">IF(D32="",0,VLOOKUP(D32,D$22:D31,1,0))</f>
        <v>#N/A</v>
      </c>
      <c r="F32" s="227" t="n">
        <f aca="false">($B32*$B$7+$C32*$C$7)/100</f>
        <v>0.0011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Fontinalis antipyretica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1310</v>
      </c>
      <c r="Q32" s="216" t="n">
        <f aca="false">IF(ISTEXT(H32),"",(B32*$B$7/100)+(C32*$C$7/100))</f>
        <v>0.0011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10</v>
      </c>
      <c r="T32" s="217" t="n">
        <f aca="false">IF(ISERROR(R32*I32*J32),0,R32*I32*J32)</f>
        <v>10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FONANT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210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0.1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Ceratophyllum demersum</v>
      </c>
      <c r="E33" s="226" t="e">
        <f aca="false">IF(D33="",0,VLOOKUP(D33,D$22:D32,1,0))</f>
        <v>#N/A</v>
      </c>
      <c r="F33" s="227" t="n">
        <f aca="false">($B33*$B$7+$C33*$C$7)/100</f>
        <v>0.011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PHy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7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5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2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Ceratophyllum demersum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1717</v>
      </c>
      <c r="Q33" s="216" t="n">
        <f aca="false">IF(ISTEXT(H33),"",(B33*$B$7/100)+(C33*$C$7/100))</f>
        <v>0.011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5</v>
      </c>
      <c r="T33" s="217" t="n">
        <f aca="false">IF(ISERROR(R33*I33*J33),0,R33*I33*J33)</f>
        <v>10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CERDEM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330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0.1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Elodea nuttalii</v>
      </c>
      <c r="E34" s="226" t="e">
        <f aca="false">IF(D34="",0,VLOOKUP(D34,D$22:D33,1,0))</f>
        <v>#N/A</v>
      </c>
      <c r="F34" s="231" t="n">
        <f aca="false">($B34*$B$7+$C34*$C$7)/100</f>
        <v>0.011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PHy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7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8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2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Elodea nuttalii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1588</v>
      </c>
      <c r="Q34" s="216" t="n">
        <f aca="false">IF(ISTEXT(H34),"",(B34*$B$7/100)+(C34*$C$7/100))</f>
        <v>0.011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8</v>
      </c>
      <c r="T34" s="217" t="n">
        <f aca="false">IF(ISERROR(R34*I34*J34),0,R34*I34*J34)</f>
        <v>16</v>
      </c>
      <c r="U34" s="229" t="n">
        <f aca="false">IF(ISERROR(R34*J34),0,R34*J34)</f>
        <v>2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ELONUT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343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</v>
      </c>
      <c r="C35" s="225" t="n">
        <v>0.1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Myriophyllum spicatum</v>
      </c>
      <c r="E35" s="226" t="e">
        <f aca="false">IF(D35="",0,VLOOKUP(D35,D$22:D34,1,0))</f>
        <v>#N/A</v>
      </c>
      <c r="F35" s="231" t="n">
        <f aca="false">($B35*$B$7+$C35*$C$7)/100</f>
        <v>0.011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PHy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7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8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Myriophyllum spicatum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1778</v>
      </c>
      <c r="Q35" s="216" t="n">
        <f aca="false">IF(ISTEXT(H35),"",(B35*$B$7/100)+(C35*$C$7/100))</f>
        <v>0.011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8</v>
      </c>
      <c r="T35" s="217" t="n">
        <f aca="false">IF(ISERROR(R35*I35*J35),0,R35*I35*J35)</f>
        <v>16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MYRSPI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373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0.01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Potamogeton pectinatus</v>
      </c>
      <c r="E36" s="226" t="e">
        <f aca="false">IF(D36="",0,VLOOKUP(D36,D$22:D35,1,0))</f>
        <v>#N/A</v>
      </c>
      <c r="F36" s="231" t="n">
        <f aca="false">($B36*$B$7+$C36*$C$7)/100</f>
        <v>0.0011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PHy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7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2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2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Potamogeton pectinatus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1655</v>
      </c>
      <c r="Q36" s="216" t="n">
        <f aca="false">IF(ISTEXT(H36),"",(B36*$B$7/100)+(C36*$C$7/100))</f>
        <v>0.0011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2</v>
      </c>
      <c r="T36" s="217" t="n">
        <f aca="false">IF(ISERROR(R36*I36*J36),0,R36*I36*J36)</f>
        <v>4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POTPEC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421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0.5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Carex acutiformis</v>
      </c>
      <c r="E37" s="226" t="e">
        <f aca="false">IF(D37="",0,VLOOKUP(D37,D$22:D36,1,0))</f>
        <v>#N/A</v>
      </c>
      <c r="F37" s="231" t="n">
        <f aca="false">($B37*$B$7+$C37*$C$7)/100</f>
        <v>0.055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Carex acutiformis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1468</v>
      </c>
      <c r="Q37" s="216" t="n">
        <f aca="false">IF(ISTEXT(H37),"",(B37*$B$7/100)+(C37*$C$7/100))</f>
        <v>0.055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CARACT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537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0.01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Carex sp.</v>
      </c>
      <c r="E38" s="226" t="e">
        <f aca="false">IF(D38="",0,VLOOKUP(D38,D$22:D37,1,0))</f>
        <v>#N/A</v>
      </c>
      <c r="F38" s="231" t="n">
        <f aca="false">($B38*$B$7+$C38*$C$7)/100</f>
        <v>0.0011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Carex sp.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1466</v>
      </c>
      <c r="Q38" s="216" t="n">
        <f aca="false">IF(ISTEXT(H38),"",(B38*$B$7/100)+(C38*$C$7/100))</f>
        <v>0.0011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CARSPX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545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</v>
      </c>
      <c r="C39" s="225" t="n">
        <v>0.01</v>
      </c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Glyceria aquatica</v>
      </c>
      <c r="E39" s="226" t="e">
        <f aca="false">IF(D39="",0,VLOOKUP(D39,D$22:D38,1,0))</f>
        <v>#N/A</v>
      </c>
      <c r="F39" s="231" t="n">
        <f aca="false">($B39*$B$7+$C39*$C$7)/100</f>
        <v>0.0011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PHe</v>
      </c>
      <c r="H39" s="210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8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Glyceria aquatica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19768</v>
      </c>
      <c r="Q39" s="216" t="n">
        <f aca="false">IF(ISTEXT(H39),"",(B39*$B$7/100)+(C39*$C$7/100))</f>
        <v>0.0011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>GLYAQU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573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94</v>
      </c>
      <c r="B40" s="224" t="n">
        <v>0</v>
      </c>
      <c r="C40" s="225" t="n">
        <v>1.5</v>
      </c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Ludwigia peploides</v>
      </c>
      <c r="E40" s="226" t="e">
        <f aca="false">IF(D40="",0,VLOOKUP(D40,D$22:D39,1,0))</f>
        <v>#N/A</v>
      </c>
      <c r="F40" s="231" t="n">
        <f aca="false">($B40*$B$7+$C40*$C$7)/100</f>
        <v>0.165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PHe</v>
      </c>
      <c r="H40" s="210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8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Ludwigia peploides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1856</v>
      </c>
      <c r="Q40" s="216" t="n">
        <f aca="false">IF(ISTEXT(H40),"",(B40*$B$7/100)+(C40*$C$7/100))</f>
        <v>0.165</v>
      </c>
      <c r="R40" s="217" t="n">
        <f aca="false">IF(OR(ISTEXT(H40),Q40=0),"",IF(Q40&lt;0.1,1,IF(Q40&lt;1,2,IF(Q40&lt;10,3,IF(Q40&lt;50,4,IF(Q40&gt;=50,5,""))))))</f>
        <v>2</v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>LUDPEP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594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95</v>
      </c>
      <c r="B41" s="224" t="n">
        <v>0</v>
      </c>
      <c r="C41" s="225" t="n">
        <v>0.01</v>
      </c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Lysimachia vulgaris</v>
      </c>
      <c r="E41" s="226" t="e">
        <f aca="false">IF(D41="",0,VLOOKUP(D41,D$22:D40,1,0))</f>
        <v>#N/A</v>
      </c>
      <c r="F41" s="231" t="n">
        <f aca="false">($B41*$B$7+$C41*$C$7)/100</f>
        <v>0.0011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PHe</v>
      </c>
      <c r="H41" s="210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8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Lysimachia vulgaris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1887</v>
      </c>
      <c r="Q41" s="216" t="n">
        <f aca="false">IF(ISTEXT(H41),"",(B41*$B$7/100)+(C41*$C$7/100))</f>
        <v>0.0011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>LYSVUL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601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96</v>
      </c>
      <c r="B42" s="224" t="n">
        <v>0</v>
      </c>
      <c r="C42" s="225" t="n">
        <v>0.01</v>
      </c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>Nasturtium officinale</v>
      </c>
      <c r="E42" s="226" t="e">
        <f aca="false">IF(D42="",0,VLOOKUP(D42,D$22:D41,1,0))</f>
        <v>#N/A</v>
      </c>
      <c r="F42" s="231" t="n">
        <f aca="false">($B42*$B$7+$C42*$C$7)/100</f>
        <v>0.0011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>PHe</v>
      </c>
      <c r="H42" s="210" t="n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8</v>
      </c>
      <c r="I42" s="211" t="n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>11</v>
      </c>
      <c r="J42" s="211" t="n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>1</v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>Nasturtium officinale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>1763</v>
      </c>
      <c r="Q42" s="216" t="n">
        <f aca="false">IF(ISTEXT(H42),"",(B42*$B$7/100)+(C42*$C$7/100))</f>
        <v>0.0011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11</v>
      </c>
      <c r="T42" s="217" t="n">
        <f aca="false">IF(ISERROR(R42*I42*J42),0,R42*I42*J42)</f>
        <v>11</v>
      </c>
      <c r="U42" s="229" t="n">
        <f aca="false">IF(ISERROR(R42*J42),0,R42*J42)</f>
        <v>1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>NASOFF</v>
      </c>
      <c r="Z42" s="10" t="n">
        <f aca="false">IF(ISERROR(MATCH(A42,'[2]liste reference'!$A$8:$A$904,0)),IF(ISERROR(MATCH(A42,'[2]liste reference'!$B$8:$B$904,0)),"",(MATCH(A42,'[2]liste reference'!$B$8:$B$904,0))),(MATCH(A42,'[2]liste reference'!$A$8:$A$904,0)))</f>
        <v>628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97</v>
      </c>
      <c r="B43" s="224" t="n">
        <v>0</v>
      </c>
      <c r="C43" s="225" t="n">
        <v>0.5</v>
      </c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>Phalaris arundinacea</v>
      </c>
      <c r="E43" s="226" t="e">
        <f aca="false">IF(D43="",0,VLOOKUP(D43,D$22:D42,1,0))</f>
        <v>#N/A</v>
      </c>
      <c r="F43" s="231" t="n">
        <f aca="false">($B43*$B$7+$C43*$C$7)/100</f>
        <v>0.055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>PHe</v>
      </c>
      <c r="H43" s="210" t="n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8</v>
      </c>
      <c r="I43" s="211" t="n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>10</v>
      </c>
      <c r="J43" s="211" t="n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>1</v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>Phalaris arundinacea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>1577</v>
      </c>
      <c r="Q43" s="216" t="n">
        <f aca="false">IF(ISTEXT(H43),"",(B43*$B$7/100)+(C43*$C$7/100))</f>
        <v>0.055</v>
      </c>
      <c r="R43" s="217" t="n">
        <f aca="false">IF(OR(ISTEXT(H43),Q43=0),"",IF(Q43&lt;0.1,1,IF(Q43&lt;1,2,IF(Q43&lt;10,3,IF(Q43&lt;50,4,IF(Q43&gt;=50,5,""))))))</f>
        <v>1</v>
      </c>
      <c r="S43" s="217" t="n">
        <f aca="false">IF(ISERROR(R43*I43),0,R43*I43)</f>
        <v>10</v>
      </c>
      <c r="T43" s="217" t="n">
        <f aca="false">IF(ISERROR(R43*I43*J43),0,R43*I43*J43)</f>
        <v>10</v>
      </c>
      <c r="U43" s="229" t="n">
        <f aca="false">IF(ISERROR(R43*J43),0,R43*J43)</f>
        <v>1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>PHAARU</v>
      </c>
      <c r="Z43" s="10" t="n">
        <f aca="false">IF(ISERROR(MATCH(A43,'[2]liste reference'!$A$8:$A$904,0)),IF(ISERROR(MATCH(A43,'[2]liste reference'!$B$8:$B$904,0)),"",(MATCH(A43,'[2]liste reference'!$B$8:$B$904,0))),(MATCH(A43,'[2]liste reference'!$A$8:$A$904,0)))</f>
        <v>634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98</v>
      </c>
      <c r="B44" s="224" t="n">
        <v>0</v>
      </c>
      <c r="C44" s="225" t="n">
        <v>0.01</v>
      </c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>Phragmites australis</v>
      </c>
      <c r="E44" s="226" t="e">
        <f aca="false">IF(D44="",0,VLOOKUP(D44,D$22:D43,1,0))</f>
        <v>#N/A</v>
      </c>
      <c r="F44" s="231" t="n">
        <f aca="false">($B44*$B$7+$C44*$C$7)/100</f>
        <v>0.0011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>PHe</v>
      </c>
      <c r="H44" s="210" t="n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8</v>
      </c>
      <c r="I44" s="211" t="n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>9</v>
      </c>
      <c r="J44" s="211" t="n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>2</v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>Phragmites australis</v>
      </c>
      <c r="L44" s="228"/>
      <c r="M44" s="228"/>
      <c r="N44" s="228"/>
      <c r="O44" s="214"/>
      <c r="P44" s="215" t="n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>1579</v>
      </c>
      <c r="Q44" s="216" t="n">
        <f aca="false">IF(ISTEXT(H44),"",(B44*$B$7/100)+(C44*$C$7/100))</f>
        <v>0.0011</v>
      </c>
      <c r="R44" s="217" t="n">
        <f aca="false">IF(OR(ISTEXT(H44),Q44=0),"",IF(Q44&lt;0.1,1,IF(Q44&lt;1,2,IF(Q44&lt;10,3,IF(Q44&lt;50,4,IF(Q44&gt;=50,5,""))))))</f>
        <v>1</v>
      </c>
      <c r="S44" s="217" t="n">
        <f aca="false">IF(ISERROR(R44*I44),0,R44*I44)</f>
        <v>9</v>
      </c>
      <c r="T44" s="217" t="n">
        <f aca="false">IF(ISERROR(R44*I44*J44),0,R44*I44*J44)</f>
        <v>18</v>
      </c>
      <c r="U44" s="229" t="n">
        <f aca="false">IF(ISERROR(R44*J44),0,R44*J44)</f>
        <v>2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>PHRAUS</v>
      </c>
      <c r="Z44" s="10" t="n">
        <f aca="false">IF(ISERROR(MATCH(A44,'[2]liste reference'!$A$8:$A$904,0)),IF(ISERROR(MATCH(A44,'[2]liste reference'!$B$8:$B$904,0)),"",(MATCH(A44,'[2]liste reference'!$B$8:$B$904,0))),(MATCH(A44,'[2]liste reference'!$A$8:$A$904,0)))</f>
        <v>635</v>
      </c>
      <c r="AA44" s="221"/>
      <c r="AB44" s="222"/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 t="s">
        <v>99</v>
      </c>
      <c r="B45" s="224" t="n">
        <v>0</v>
      </c>
      <c r="C45" s="225" t="n">
        <v>0.01</v>
      </c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>Sparganium erectum</v>
      </c>
      <c r="E45" s="226" t="e">
        <f aca="false">IF(D45="",0,VLOOKUP(D45,D$22:D44,1,0))</f>
        <v>#N/A</v>
      </c>
      <c r="F45" s="231" t="n">
        <f aca="false">($B45*$B$7+$C45*$C$7)/100</f>
        <v>0.0011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>PHe</v>
      </c>
      <c r="H45" s="210" t="n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8</v>
      </c>
      <c r="I45" s="211" t="n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>10</v>
      </c>
      <c r="J45" s="211" t="n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>1</v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>Sparganium erectum</v>
      </c>
      <c r="L45" s="228"/>
      <c r="M45" s="228"/>
      <c r="N45" s="228"/>
      <c r="O45" s="214"/>
      <c r="P45" s="215" t="n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>1671</v>
      </c>
      <c r="Q45" s="216" t="n">
        <f aca="false">IF(ISTEXT(H45),"",(B45*$B$7/100)+(C45*$C$7/100))</f>
        <v>0.0011</v>
      </c>
      <c r="R45" s="217" t="n">
        <f aca="false">IF(OR(ISTEXT(H45),Q45=0),"",IF(Q45&lt;0.1,1,IF(Q45&lt;1,2,IF(Q45&lt;10,3,IF(Q45&lt;50,4,IF(Q45&gt;=50,5,""))))))</f>
        <v>1</v>
      </c>
      <c r="S45" s="217" t="n">
        <f aca="false">IF(ISERROR(R45*I45),0,R45*I45)</f>
        <v>10</v>
      </c>
      <c r="T45" s="217" t="n">
        <f aca="false">IF(ISERROR(R45*I45*J45),0,R45*I45*J45)</f>
        <v>10</v>
      </c>
      <c r="U45" s="229" t="n">
        <f aca="false">IF(ISERROR(R45*J45),0,R45*J45)</f>
        <v>1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>SPAERE</v>
      </c>
      <c r="Z45" s="10" t="n">
        <f aca="false">IF(ISERROR(MATCH(A45,'[2]liste reference'!$A$8:$A$904,0)),IF(ISERROR(MATCH(A45,'[2]liste reference'!$B$8:$B$904,0)),"",(MATCH(A45,'[2]liste reference'!$B$8:$B$904,0))),(MATCH(A45,'[2]liste reference'!$A$8:$A$904,0)))</f>
        <v>668</v>
      </c>
      <c r="AA45" s="221"/>
      <c r="AB45" s="222"/>
      <c r="AC45" s="222"/>
      <c r="BB45" s="10" t="n">
        <f aca="false">IF(A45="","",1)</f>
        <v>1</v>
      </c>
    </row>
    <row r="46" customFormat="false" ht="12.75" hidden="false" customHeight="false" outlineLevel="0" collapsed="false">
      <c r="A46" s="223" t="s">
        <v>100</v>
      </c>
      <c r="B46" s="224" t="n">
        <v>0</v>
      </c>
      <c r="C46" s="225" t="n">
        <v>0.01</v>
      </c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>Veronica anagallis-aquatica</v>
      </c>
      <c r="E46" s="226" t="e">
        <f aca="false">IF(D46="",0,VLOOKUP(D46,D$22:D39,1,0))</f>
        <v>#N/A</v>
      </c>
      <c r="F46" s="231" t="n">
        <f aca="false">($B46*$B$7+$C46*$C$7)/100</f>
        <v>0.0011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>PHe</v>
      </c>
      <c r="H46" s="210" t="n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8</v>
      </c>
      <c r="I46" s="211" t="n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>11</v>
      </c>
      <c r="J46" s="211" t="n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>2</v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>Veronica anagallis-aquatica</v>
      </c>
      <c r="L46" s="228"/>
      <c r="M46" s="228"/>
      <c r="N46" s="228"/>
      <c r="O46" s="214"/>
      <c r="P46" s="215" t="n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>1955</v>
      </c>
      <c r="Q46" s="216" t="n">
        <f aca="false">IF(ISTEXT(H46),"",(B46*$B$7/100)+(C46*$C$7/100))</f>
        <v>0.0011</v>
      </c>
      <c r="R46" s="217" t="n">
        <f aca="false">IF(OR(ISTEXT(H46),Q46=0),"",IF(Q46&lt;0.1,1,IF(Q46&lt;1,2,IF(Q46&lt;10,3,IF(Q46&lt;50,4,IF(Q46&gt;=50,5,""))))))</f>
        <v>1</v>
      </c>
      <c r="S46" s="217" t="n">
        <f aca="false">IF(ISERROR(R46*I46),0,R46*I46)</f>
        <v>11</v>
      </c>
      <c r="T46" s="217" t="n">
        <f aca="false">IF(ISERROR(R46*I46*J46),0,R46*I46*J46)</f>
        <v>22</v>
      </c>
      <c r="U46" s="229" t="n">
        <f aca="false">IF(ISERROR(R46*J46),0,R46*J46)</f>
        <v>2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>VERANA</v>
      </c>
      <c r="Z46" s="10" t="n">
        <f aca="false">IF(ISERROR(MATCH(A46,'[2]liste reference'!$A$8:$A$904,0)),IF(ISERROR(MATCH(A46,'[2]liste reference'!$B$8:$B$904,0)),"",(MATCH(A46,'[2]liste reference'!$B$8:$B$904,0))),(MATCH(A46,'[2]liste reference'!$A$8:$A$904,0)))</f>
        <v>682</v>
      </c>
      <c r="AA46" s="221"/>
      <c r="AB46" s="222"/>
      <c r="AC46" s="222"/>
      <c r="BB46" s="10" t="n">
        <f aca="false">IF(A46="","",1)</f>
        <v>1</v>
      </c>
    </row>
    <row r="47" customFormat="false" ht="12.75" hidden="false" customHeight="false" outlineLevel="0" collapsed="false">
      <c r="A47" s="223" t="s">
        <v>101</v>
      </c>
      <c r="B47" s="224" t="n">
        <v>0</v>
      </c>
      <c r="C47" s="225" t="n">
        <v>0.05</v>
      </c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>Polygonum sp.</v>
      </c>
      <c r="E47" s="226" t="e">
        <f aca="false">IF(D47="",0,VLOOKUP(D47,D$22:D39,1,0))</f>
        <v>#N/A</v>
      </c>
      <c r="F47" s="231" t="n">
        <f aca="false">($B47*$B$7+$C47*$C$7)/100</f>
        <v>0.0055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>PHg</v>
      </c>
      <c r="H47" s="210" t="n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9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>Polygonum sp.</v>
      </c>
      <c r="L47" s="228"/>
      <c r="M47" s="228"/>
      <c r="N47" s="228"/>
      <c r="O47" s="214"/>
      <c r="P47" s="215" t="n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>1863</v>
      </c>
      <c r="Q47" s="216" t="n">
        <f aca="false">IF(ISTEXT(H47),"",(B47*$B$7/100)+(C47*$C$7/100))</f>
        <v>0.0055</v>
      </c>
      <c r="R47" s="217" t="n">
        <f aca="false">IF(OR(ISTEXT(H47),Q47=0),"",IF(Q47&lt;0.1,1,IF(Q47&lt;1,2,IF(Q47&lt;10,3,IF(Q47&lt;50,4,IF(Q47&gt;=50,5,""))))))</f>
        <v>1</v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>POLSPX</v>
      </c>
      <c r="Z47" s="10" t="n">
        <f aca="false">IF(ISERROR(MATCH(A47,'[2]liste reference'!$A$8:$A$904,0)),IF(ISERROR(MATCH(A47,'[2]liste reference'!$B$8:$B$904,0)),"",(MATCH(A47,'[2]liste reference'!$B$8:$B$904,0))),(MATCH(A47,'[2]liste reference'!$A$8:$A$904,0)))</f>
        <v>799</v>
      </c>
      <c r="AA47" s="221"/>
      <c r="AB47" s="222"/>
      <c r="AC47" s="222"/>
      <c r="BB47" s="10" t="n">
        <f aca="false">IF(A47="","",1)</f>
        <v>1</v>
      </c>
    </row>
    <row r="48" customFormat="false" ht="12.75" hidden="false" customHeight="false" outlineLevel="0" collapsed="false">
      <c r="A48" s="223" t="s">
        <v>102</v>
      </c>
      <c r="B48" s="224" t="n">
        <v>0</v>
      </c>
      <c r="C48" s="225" t="n">
        <v>0.01</v>
      </c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>Rorippa sp.</v>
      </c>
      <c r="E48" s="226" t="e">
        <f aca="false">IF(D48="",0,VLOOKUP(D48,D$22:D40,1,0))</f>
        <v>#N/A</v>
      </c>
      <c r="F48" s="231" t="n">
        <f aca="false">($B48*$B$7+$C48*$C$7)/100</f>
        <v>0.0011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>PHe</v>
      </c>
      <c r="H48" s="210" t="n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8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>Rorippa sp.</v>
      </c>
      <c r="L48" s="228"/>
      <c r="M48" s="228"/>
      <c r="N48" s="228"/>
      <c r="O48" s="214"/>
      <c r="P48" s="215" t="n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>1764</v>
      </c>
      <c r="Q48" s="216" t="n">
        <f aca="false">IF(ISTEXT(H48),"",(B48*$B$7/100)+(C48*$C$7/100))</f>
        <v>0.0011</v>
      </c>
      <c r="R48" s="217" t="n">
        <f aca="false">IF(OR(ISTEXT(H48),Q48=0),"",IF(Q48&lt;0.1,1,IF(Q48&lt;1,2,IF(Q48&lt;10,3,IF(Q48&lt;50,4,IF(Q48&gt;=50,5,""))))))</f>
        <v>1</v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>RORSPX</v>
      </c>
      <c r="Z48" s="10" t="n">
        <f aca="false">IF(ISERROR(MATCH(A48,'[2]liste reference'!$A$8:$A$904,0)),IF(ISERROR(MATCH(A48,'[2]liste reference'!$B$8:$B$904,0)),"",(MATCH(A48,'[2]liste reference'!$B$8:$B$904,0))),(MATCH(A48,'[2]liste reference'!$A$8:$A$904,0)))</f>
        <v>647</v>
      </c>
      <c r="AA48" s="221"/>
      <c r="AB48" s="222"/>
      <c r="AC48" s="222"/>
      <c r="BB48" s="10" t="n">
        <f aca="false">IF(A48="","",1)</f>
        <v>1</v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Rhône</v>
      </c>
      <c r="B84" s="259" t="str">
        <f aca="false">C3</f>
        <v>Rhône à Pierrelatte</v>
      </c>
      <c r="C84" s="260" t="n">
        <f aca="false">A4</f>
        <v>41905</v>
      </c>
      <c r="D84" s="261" t="n">
        <f aca="false">IF(ISERROR(SUM($T$23:$T$82)/SUM($U$23:$U$82)),"",SUM($T$23:$T$82)/SUM($U$23:$U$82))</f>
        <v>8.625</v>
      </c>
      <c r="E84" s="262" t="n">
        <f aca="false">N13</f>
        <v>26</v>
      </c>
      <c r="F84" s="259" t="n">
        <f aca="false">N14</f>
        <v>18</v>
      </c>
      <c r="G84" s="259" t="n">
        <f aca="false">N15</f>
        <v>7</v>
      </c>
      <c r="H84" s="259" t="n">
        <f aca="false">N16</f>
        <v>11</v>
      </c>
      <c r="I84" s="259" t="n">
        <f aca="false">N17</f>
        <v>0</v>
      </c>
      <c r="J84" s="263" t="n">
        <f aca="false">N8</f>
        <v>9.05555555555556</v>
      </c>
      <c r="K84" s="261" t="n">
        <f aca="false">N9</f>
        <v>3.20541594150037</v>
      </c>
      <c r="L84" s="262" t="n">
        <f aca="false">N10</f>
        <v>2</v>
      </c>
      <c r="M84" s="262" t="n">
        <f aca="false">N11</f>
        <v>15</v>
      </c>
      <c r="N84" s="261" t="n">
        <f aca="false">O8</f>
        <v>1.61111111111111</v>
      </c>
      <c r="O84" s="261" t="n">
        <f aca="false">O9</f>
        <v>0.487498021521785</v>
      </c>
      <c r="P84" s="262" t="n">
        <f aca="false">O10</f>
        <v>1</v>
      </c>
      <c r="Q84" s="262" t="n">
        <f aca="false">O11</f>
        <v>2</v>
      </c>
      <c r="R84" s="262" t="n">
        <f aca="false">F21</f>
        <v>0.5533</v>
      </c>
      <c r="S84" s="262" t="n">
        <f aca="false">K11</f>
        <v>0</v>
      </c>
      <c r="T84" s="262" t="n">
        <f aca="false">K12</f>
        <v>6</v>
      </c>
      <c r="U84" s="262" t="n">
        <f aca="false">K13</f>
        <v>4</v>
      </c>
      <c r="V84" s="264" t="n">
        <f aca="false">K14</f>
        <v>0</v>
      </c>
      <c r="W84" s="265" t="n">
        <f aca="false">K15</f>
        <v>16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104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105</v>
      </c>
      <c r="R87" s="10"/>
      <c r="S87" s="218" t="n">
        <f aca="false">VLOOKUP(MAX($S$23:$S$82),($S$23:$U$82),1,0)</f>
        <v>15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106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107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108</v>
      </c>
      <c r="R90" s="10"/>
      <c r="S90" s="268" t="n">
        <f aca="false">IF(ISERROR(SUM($T$23:$T$82)/SUM($U$23:$U$82)),"",(SUM($T$23:$T$82)-S88)/(SUM($U$23:$U$82)-S89))</f>
        <v>8.2</v>
      </c>
      <c r="T90" s="10"/>
    </row>
    <row r="91" customFormat="false" ht="12.75" hidden="false" customHeight="false" outlineLevel="0" collapsed="false">
      <c r="Q91" s="217" t="s">
        <v>109</v>
      </c>
      <c r="R91" s="217"/>
      <c r="S91" s="217" t="str">
        <f aca="false">INDEX('[2]liste reference'!$A$8:$A$904,$T$91)</f>
        <v>HILSPX</v>
      </c>
      <c r="T91" s="10" t="n">
        <f aca="false">IF(ISERROR(MATCH($S$93,'[2]liste reference'!$A$8:$A$904,0)),MATCH($S$93,'[2]liste reference'!$B$8:$B$904,0),(MATCH($S$93,'[2]liste reference'!$A$8:$A$904,0)))</f>
        <v>30</v>
      </c>
      <c r="U91" s="257"/>
    </row>
    <row r="92" customFormat="false" ht="12.75" hidden="false" customHeight="false" outlineLevel="0" collapsed="false">
      <c r="Q92" s="10" t="s">
        <v>110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111</v>
      </c>
      <c r="R93" s="10"/>
      <c r="S93" s="217" t="str">
        <f aca="false">INDEX($A$23:$A$82,$S$92)</f>
        <v>HILSPX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2015-04-17T11:16:53Z</dcterms:created>
  <dc:creator>Laurent Bourgoin</dc:creator>
  <dc:description/>
  <dc:language>fr-FR</dc:language>
  <cp:lastModifiedBy>Laurent Bourgoin</cp:lastModifiedBy>
  <dcterms:modified xsi:type="dcterms:W3CDTF">2015-04-17T11:17:00Z</dcterms:modified>
  <cp:revision>0</cp:revision>
  <dc:subject/>
  <dc:title/>
</cp:coreProperties>
</file>