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<sst xmlns="http://schemas.openxmlformats.org/spreadsheetml/2006/main" count="162" uniqueCount="97">
  <si>
    <t xml:space="preserve">Relevés floristiques aquatiques - IBMR</t>
  </si>
  <si>
    <t xml:space="preserve">modèle Irstea-GIS</t>
  </si>
  <si>
    <t xml:space="preserve">SAGE</t>
  </si>
  <si>
    <t xml:space="preserve">C.BERNARD S.RENAHY</t>
  </si>
  <si>
    <t xml:space="preserve">Lignon</t>
  </si>
  <si>
    <t xml:space="preserve">Lignon à la Souche</t>
  </si>
  <si>
    <t xml:space="preserve">06114155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</si>
  <si>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</si>
  <si>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</si>
  <si>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</si>
  <si>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</si>
  <si>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</si>
  <si>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</si>
  <si>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</si>
  <si>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</si>
  <si>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</si>
  <si>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DIASPX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</si>
  <si>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</si>
  <si>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</si>
  <si>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</si>
  <si>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</si>
  <si>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</si>
  <si>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</si>
  <si>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</si>
  <si>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</si>
  <si>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</si>
  <si>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</si>
  <si>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</si>
  <si>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</si>
  <si>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</si>
  <si>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</si>
  <si>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</si>
  <si>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</si>
  <si>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</si>
  <si>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</si>
  <si>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</si>
  <si>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</si>
  <si>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</si>
  <si>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</si>
  <si>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</si>
  <si>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</si>
  <si>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</si>
  <si>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</si>
  <si>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</si>
  <si>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</si>
  <si>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</si>
  <si>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</si>
  <si>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</si>
  <si>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</si>
  <si>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</si>
  <si>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</si>
  <si>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</si>
  <si>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</si>
  <si>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</si>
  <si>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</si>
  <si>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</si>
  <si>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</si>
  <si>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</si>
  <si>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</si>
  <si>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</si>
  <si>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</si>
  <si>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</si>
  <si>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</si>
  <si>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</si>
  <si>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</si>
  <si>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</si>
  <si>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</si>
  <si>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</si>
  <si>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</si>
  <si>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</si>
  <si>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</si>
  <si>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</si>
  <si>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</si>
  <si>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</si>
  <si>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</si>
  <si>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</si>
  <si>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</si>
  <si>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</si>
  <si>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</si>
  <si>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LEASPX</t>
  </si>
  <si>
    <t xml:space="preserve">MELSPX</t>
  </si>
  <si>
    <t xml:space="preserve">OEDSPX</t>
  </si>
  <si>
    <t xml:space="preserve">PHOSPX</t>
  </si>
  <si>
    <t xml:space="preserve">SPISPX</t>
  </si>
  <si>
    <t xml:space="preserve">TOYSPX</t>
  </si>
  <si>
    <t xml:space="preserve">ULOSPX</t>
  </si>
  <si>
    <t xml:space="preserve">SCAUND</t>
  </si>
  <si>
    <t xml:space="preserve">BRARIV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</si>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</sst>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LISOU_02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42206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11.972972972973</v>
      </c>
      <c r="N5" s="51"/>
      <c r="O5" s="52" t="s">
        <v>16</v>
      </c>
      <c r="P5" s="53" t="n">
        <v>11.9677419354839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70</v>
      </c>
      <c r="C7" s="69" t="n">
        <v>30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12</v>
      </c>
      <c r="P8" s="83" t="n">
        <f aca="false">IF(ISERROR(AVERAGE(K23:K82)),"  ",AVERAGE(K23:K82))</f>
        <v>1.7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24.6</v>
      </c>
      <c r="C9" s="86" t="n">
        <v>51.26</v>
      </c>
      <c r="D9" s="87"/>
      <c r="E9" s="87"/>
      <c r="F9" s="88" t="n">
        <f aca="false">($B9*$B$7+$C9*$C$7)/100</f>
        <v>32.598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3.03315017762062</v>
      </c>
      <c r="P9" s="83" t="n">
        <f aca="false">IF(ISERROR(STDEVP(K23:K82)),"  ",STDEVP(K23:K82))</f>
        <v>0.640312423743285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17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24.43</v>
      </c>
      <c r="C12" s="111" t="n">
        <v>51.22</v>
      </c>
      <c r="D12" s="87"/>
      <c r="E12" s="87"/>
      <c r="F12" s="104" t="n">
        <f aca="false">($B12*$B$7+$C12*$C$7)/100</f>
        <v>32.467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8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 t="n">
        <v>0.17</v>
      </c>
      <c r="C13" s="111" t="n">
        <v>0.04</v>
      </c>
      <c r="D13" s="87"/>
      <c r="E13" s="87"/>
      <c r="F13" s="104" t="n">
        <f aca="false">($B13*$B$7+$C13*$C$7)/100</f>
        <v>0.131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3</v>
      </c>
      <c r="M13" s="108"/>
      <c r="N13" s="116" t="s">
        <v>40</v>
      </c>
      <c r="O13" s="117" t="n">
        <f aca="false">COUNTIF(F23:F82,"&gt;0")</f>
        <v>11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10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46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24.6</v>
      </c>
      <c r="C17" s="111" t="n">
        <v>51.26</v>
      </c>
      <c r="D17" s="87"/>
      <c r="E17" s="87"/>
      <c r="F17" s="129"/>
      <c r="G17" s="130" t="n">
        <f aca="false">($B17*$B$7+$C17*$C$7)/100</f>
        <v>32.598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0.909090909090909</v>
      </c>
      <c r="N17" s="116" t="s">
        <v>51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/>
      <c r="C18" s="138"/>
      <c r="D18" s="87"/>
      <c r="E18" s="139" t="s">
        <v>53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32.598</v>
      </c>
      <c r="G19" s="150" t="n">
        <f aca="false">SUM(G16:G18)</f>
        <v>32.598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24.6</v>
      </c>
      <c r="C20" s="160" t="n">
        <f aca="false">SUM(C23:C62)</f>
        <v>51.26</v>
      </c>
      <c r="D20" s="161"/>
      <c r="E20" s="162" t="s">
        <v>53</v>
      </c>
      <c r="F20" s="163" t="n">
        <f aca="false">($B20*$B$7+$C20*$C$7)/100</f>
        <v>32.598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17.22</v>
      </c>
      <c r="C21" s="171" t="n">
        <f aca="false">C20*C7/100</f>
        <v>15.378</v>
      </c>
      <c r="D21" s="172" t="s">
        <v>56</v>
      </c>
      <c r="E21" s="173"/>
      <c r="F21" s="174" t="n">
        <f aca="false">B21+C21</f>
        <v>32.598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16</v>
      </c>
      <c r="B23" s="199" t="n">
        <v>1.81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Diatoma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1.27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12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2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Diatoma sp.</v>
      </c>
      <c r="M23" s="208"/>
      <c r="N23" s="208"/>
      <c r="O23" s="208"/>
      <c r="P23" s="209" t="s">
        <v>78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6627</v>
      </c>
      <c r="R23" s="211" t="n">
        <f aca="false">IF(ISTEXT(H23),"",(B23*$B$7/100)+(C23*$C$7/100))</f>
        <v>1.27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36</v>
      </c>
      <c r="U23" s="212" t="n">
        <f aca="false">IF(ISERROR(S23*J23*K23),0,S23*J23*K23)</f>
        <v>72</v>
      </c>
      <c r="V23" s="212" t="n">
        <f aca="false">IF(ISERROR(S23*K23),0,S23*K23)</f>
        <v>6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DIASPX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40</v>
      </c>
    </row>
    <row r="24" customFormat="false" ht="12.75" hidden="false" customHeight="false" outlineLevel="0" collapsed="false">
      <c r="A24" s="216" t="s">
        <v>79</v>
      </c>
      <c r="B24" s="217" t="n">
        <v>4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Lemanea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2.803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15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Lemanea sp.</v>
      </c>
      <c r="M24" s="225"/>
      <c r="N24" s="225"/>
      <c r="O24" s="225"/>
      <c r="P24" s="226" t="s">
        <v>78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1159</v>
      </c>
      <c r="R24" s="211" t="n">
        <f aca="false">IF(ISTEXT(H24),"",(B24*$B$7/100)+(C24*$C$7/100))</f>
        <v>2.803</v>
      </c>
      <c r="S24" s="212" t="n">
        <f aca="false">IF(OR(ISTEXT(H24),R24=0),"",IF(R24&lt;0.1,1,IF(R24&lt;1,2,IF(R24&lt;10,3,IF(R24&lt;50,4,IF(R24&gt;=50,5,""))))))</f>
        <v>3</v>
      </c>
      <c r="T24" s="212" t="n">
        <f aca="false">IF(ISERROR(S24*J24),0,S24*J24)</f>
        <v>45</v>
      </c>
      <c r="U24" s="212" t="n">
        <f aca="false">IF(ISERROR(S24*J24*K24),0,S24*J24*K24)</f>
        <v>90</v>
      </c>
      <c r="V24" s="228" t="n">
        <f aca="false">IF(ISERROR(S24*K24),0,S24*K24)</f>
        <v>6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LEASPX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59</v>
      </c>
    </row>
    <row r="25" customFormat="false" ht="12.75" hidden="false" customHeight="false" outlineLevel="0" collapsed="false">
      <c r="A25" s="216" t="s">
        <v>80</v>
      </c>
      <c r="B25" s="217" t="n">
        <v>15.04</v>
      </c>
      <c r="C25" s="218" t="n">
        <v>35.06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Melosira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21.046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Melosira sp.</v>
      </c>
      <c r="M25" s="225"/>
      <c r="N25" s="225"/>
      <c r="O25" s="225"/>
      <c r="P25" s="226" t="s">
        <v>78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8714</v>
      </c>
      <c r="R25" s="211" t="n">
        <f aca="false">IF(ISTEXT(H25),"",(B25*$B$7/100)+(C25*$C$7/100))</f>
        <v>21.046</v>
      </c>
      <c r="S25" s="212" t="n">
        <f aca="false">IF(OR(ISTEXT(H25),R25=0),"",IF(R25&lt;0.1,1,IF(R25&lt;1,2,IF(R25&lt;10,3,IF(R25&lt;50,4,IF(R25&gt;=50,5,""))))))</f>
        <v>4</v>
      </c>
      <c r="T25" s="212" t="n">
        <f aca="false">IF(ISERROR(S25*J25),0,S25*J25)</f>
        <v>40</v>
      </c>
      <c r="U25" s="212" t="n">
        <f aca="false">IF(ISERROR(S25*J25*K25),0,S25*J25*K25)</f>
        <v>40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MELSPX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62</v>
      </c>
    </row>
    <row r="26" customFormat="false" ht="12.75" hidden="false" customHeight="false" outlineLevel="0" collapsed="false">
      <c r="A26" s="216" t="s">
        <v>81</v>
      </c>
      <c r="B26" s="217" t="n">
        <v>0.2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Oedogonium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0.14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6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Oedogonium sp.</v>
      </c>
      <c r="M26" s="225"/>
      <c r="N26" s="225"/>
      <c r="O26" s="225"/>
      <c r="P26" s="226" t="s">
        <v>78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1134</v>
      </c>
      <c r="R26" s="211" t="n">
        <f aca="false">IF(ISTEXT(H26),"",(B26*$B$7/100)+(C26*$C$7/100))</f>
        <v>0.14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OEDSPX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85</v>
      </c>
    </row>
    <row r="27" customFormat="false" ht="12.75" hidden="false" customHeight="false" outlineLevel="0" collapsed="false">
      <c r="A27" s="216" t="s">
        <v>82</v>
      </c>
      <c r="B27" s="217" t="n">
        <v>0.16</v>
      </c>
      <c r="C27" s="218" t="n">
        <v>0.19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Phormidium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0.169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Phormidium sp.</v>
      </c>
      <c r="M27" s="225"/>
      <c r="N27" s="225"/>
      <c r="O27" s="225"/>
      <c r="P27" s="226" t="s">
        <v>78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6414</v>
      </c>
      <c r="R27" s="211" t="n">
        <f aca="false">IF(ISTEXT(H27),"",(B27*$B$7/100)+(C27*$C$7/100))</f>
        <v>0.169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26</v>
      </c>
      <c r="U27" s="212" t="n">
        <f aca="false">IF(ISERROR(S27*J27*K27),0,S27*J27*K27)</f>
        <v>52</v>
      </c>
      <c r="V27" s="228" t="n">
        <f aca="false">IF(ISERROR(S27*K27),0,S27*K27)</f>
        <v>4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PHOSPX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88</v>
      </c>
    </row>
    <row r="28" customFormat="false" ht="12.75" hidden="false" customHeight="false" outlineLevel="0" collapsed="false">
      <c r="A28" s="216" t="s">
        <v>83</v>
      </c>
      <c r="B28" s="217" t="n">
        <v>2.21</v>
      </c>
      <c r="C28" s="218" t="n">
        <v>13.4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Spirogyra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5.567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10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Spirogyra sp.</v>
      </c>
      <c r="M28" s="225"/>
      <c r="N28" s="225"/>
      <c r="O28" s="225"/>
      <c r="P28" s="226" t="s">
        <v>78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1147</v>
      </c>
      <c r="R28" s="211" t="n">
        <f aca="false">IF(ISTEXT(H28),"",(B28*$B$7/100)+(C28*$C$7/100))</f>
        <v>5.567</v>
      </c>
      <c r="S28" s="212" t="n">
        <f aca="false">IF(OR(ISTEXT(H28),R28=0),"",IF(R28&lt;0.1,1,IF(R28&lt;1,2,IF(R28&lt;10,3,IF(R28&lt;50,4,IF(R28&gt;=50,5,""))))))</f>
        <v>3</v>
      </c>
      <c r="T28" s="212" t="n">
        <f aca="false">IF(ISERROR(S28*J28),0,S28*J28)</f>
        <v>30</v>
      </c>
      <c r="U28" s="212" t="n">
        <f aca="false">IF(ISERROR(S28*J28*K28),0,S28*J28*K28)</f>
        <v>30</v>
      </c>
      <c r="V28" s="228" t="n">
        <f aca="false">IF(ISERROR(S28*K28),0,S28*K28)</f>
        <v>3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SPISPX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102</v>
      </c>
    </row>
    <row r="29" customFormat="false" ht="12.75" hidden="false" customHeight="false" outlineLevel="0" collapsed="false">
      <c r="A29" s="216" t="s">
        <v>84</v>
      </c>
      <c r="B29" s="217" t="n">
        <v>0.01</v>
      </c>
      <c r="C29" s="218" t="n">
        <v>0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Tolypothrix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0.007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nc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nc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Tolypothrix sp.</v>
      </c>
      <c r="M29" s="225"/>
      <c r="N29" s="225"/>
      <c r="O29" s="225"/>
      <c r="P29" s="226" t="s">
        <v>78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6304</v>
      </c>
      <c r="R29" s="211" t="n">
        <f aca="false">IF(ISTEXT(H29),"",(B29*$B$7/100)+(C29*$C$7/100))</f>
        <v>0.007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TOYSPX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113</v>
      </c>
    </row>
    <row r="30" customFormat="false" ht="12.75" hidden="false" customHeight="false" outlineLevel="0" collapsed="false">
      <c r="A30" s="216" t="s">
        <v>85</v>
      </c>
      <c r="B30" s="217" t="n">
        <v>1</v>
      </c>
      <c r="C30" s="218" t="n">
        <v>2.55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Ulothrix sp.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1.465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ALG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2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10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Ulothrix sp.</v>
      </c>
      <c r="M30" s="225"/>
      <c r="N30" s="225"/>
      <c r="O30" s="225"/>
      <c r="P30" s="226" t="s">
        <v>78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1142</v>
      </c>
      <c r="R30" s="211" t="n">
        <f aca="false">IF(ISTEXT(H30),"",(B30*$B$7/100)+(C30*$C$7/100))</f>
        <v>1.465</v>
      </c>
      <c r="S30" s="212" t="n">
        <f aca="false">IF(OR(ISTEXT(H30),R30=0),"",IF(R30&lt;0.1,1,IF(R30&lt;1,2,IF(R30&lt;10,3,IF(R30&lt;50,4,IF(R30&gt;=50,5,""))))))</f>
        <v>3</v>
      </c>
      <c r="T30" s="212" t="n">
        <f aca="false">IF(ISERROR(S30*J30),0,S30*J30)</f>
        <v>30</v>
      </c>
      <c r="U30" s="212" t="n">
        <f aca="false">IF(ISERROR(S30*J30*K30),0,S30*J30*K30)</f>
        <v>30</v>
      </c>
      <c r="V30" s="228" t="n">
        <f aca="false">IF(ISERROR(S30*K30),0,S30*K30)</f>
        <v>3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ULOSPX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116</v>
      </c>
    </row>
    <row r="31" customFormat="false" ht="12.75" hidden="false" customHeight="false" outlineLevel="0" collapsed="false">
      <c r="A31" s="216" t="s">
        <v>86</v>
      </c>
      <c r="B31" s="217" t="n">
        <v>0.02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Scapania undulata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0.017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BRh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4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17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3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Scapania undulata</v>
      </c>
      <c r="M31" s="225"/>
      <c r="N31" s="225"/>
      <c r="O31" s="225"/>
      <c r="P31" s="226" t="s">
        <v>78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1213</v>
      </c>
      <c r="R31" s="211" t="n">
        <f aca="false">IF(ISTEXT(H31),"",(B31*$B$7/100)+(C31*$C$7/100))</f>
        <v>0.017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17</v>
      </c>
      <c r="U31" s="212" t="n">
        <f aca="false">IF(ISERROR(S31*J31*K31),0,S31*J31*K31)</f>
        <v>51</v>
      </c>
      <c r="V31" s="228" t="n">
        <f aca="false">IF(ISERROR(S31*K31),0,S31*K31)</f>
        <v>3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SCAUND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193</v>
      </c>
    </row>
    <row r="32" customFormat="false" ht="12.75" hidden="false" customHeight="false" outlineLevel="0" collapsed="false">
      <c r="A32" s="216" t="s">
        <v>87</v>
      </c>
      <c r="B32" s="217" t="n">
        <v>0.02</v>
      </c>
      <c r="C32" s="218" t="n">
        <v>0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Brachythecium rivulare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0.014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15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Brachythecium rivulare</v>
      </c>
      <c r="M32" s="225"/>
      <c r="N32" s="225"/>
      <c r="O32" s="225"/>
      <c r="P32" s="226" t="s">
        <v>78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1260</v>
      </c>
      <c r="R32" s="211" t="n">
        <f aca="false">IF(ISTEXT(H32),"",(B32*$B$7/100)+(C32*$C$7/100))</f>
        <v>0.014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15</v>
      </c>
      <c r="U32" s="212" t="n">
        <f aca="false">IF(ISERROR(S32*J32*K32),0,S32*J32*K32)</f>
        <v>30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BRARIV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203</v>
      </c>
    </row>
    <row r="33" customFormat="false" ht="12.75" hidden="false" customHeight="false" outlineLevel="0" collapsed="false">
      <c r="A33" s="216" t="s">
        <v>88</v>
      </c>
      <c r="B33" s="217" t="n">
        <v>0.13</v>
      </c>
      <c r="C33" s="218" t="n">
        <v>0.03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Rhynchostegium riparioides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0.1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12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1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Rhynchostegium riparioides</v>
      </c>
      <c r="M33" s="225"/>
      <c r="N33" s="225"/>
      <c r="O33" s="225"/>
      <c r="P33" s="226" t="s">
        <v>78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31691</v>
      </c>
      <c r="R33" s="211" t="n">
        <f aca="false">IF(ISTEXT(H33),"",(B33*$B$7/100)+(C33*$C$7/100))</f>
        <v>0.1</v>
      </c>
      <c r="S33" s="212" t="n">
        <f aca="false">IF(OR(ISTEXT(H33),R33=0),"",IF(R33&lt;0.1,1,IF(R33&lt;1,2,IF(R33&lt;10,3,IF(R33&lt;50,4,IF(R33&gt;=50,5,""))))))</f>
        <v>2</v>
      </c>
      <c r="T33" s="212" t="n">
        <f aca="false">IF(ISERROR(S33*J33),0,S33*J33)</f>
        <v>24</v>
      </c>
      <c r="U33" s="212" t="n">
        <f aca="false">IF(ISERROR(S33*J33*K33),0,S33*J33*K33)</f>
        <v>24</v>
      </c>
      <c r="V33" s="228" t="n">
        <f aca="false">IF(ISERROR(S33*K33),0,S33*K33)</f>
        <v>2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RHYRIP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345</v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78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78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78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78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78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78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78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78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78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78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78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78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78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78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78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78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78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78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78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78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78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78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78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78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78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78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78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78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78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78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78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78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78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78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78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78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78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78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78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78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78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78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78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78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78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78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78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78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78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32.598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37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Lignon</v>
      </c>
      <c r="B84" s="180" t="str">
        <f aca="false">C3</f>
        <v>Lignon à la Souche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11.972972972973</v>
      </c>
      <c r="E84" s="254" t="n">
        <f aca="false">O13</f>
        <v>11</v>
      </c>
      <c r="F84" s="180" t="n">
        <f aca="false">O14</f>
        <v>10</v>
      </c>
      <c r="G84" s="180" t="n">
        <f aca="false">O15</f>
        <v>4</v>
      </c>
      <c r="H84" s="180" t="n">
        <f aca="false">O16</f>
        <v>5</v>
      </c>
      <c r="I84" s="180" t="n">
        <f aca="false">O17</f>
        <v>1</v>
      </c>
      <c r="J84" s="255" t="n">
        <f aca="false">O8</f>
        <v>12</v>
      </c>
      <c r="K84" s="256" t="n">
        <f aca="false">O9</f>
        <v>3.03315017762062</v>
      </c>
      <c r="L84" s="257" t="n">
        <f aca="false">O10</f>
        <v>6</v>
      </c>
      <c r="M84" s="257" t="n">
        <f aca="false">O11</f>
        <v>17</v>
      </c>
      <c r="N84" s="256" t="n">
        <f aca="false">P8</f>
        <v>1.7</v>
      </c>
      <c r="O84" s="256" t="n">
        <f aca="false">P9</f>
        <v>0.640312423743285</v>
      </c>
      <c r="P84" s="257" t="n">
        <f aca="false">P10</f>
        <v>1</v>
      </c>
      <c r="Q84" s="257" t="n">
        <f aca="false">P11</f>
        <v>3</v>
      </c>
      <c r="R84" s="257" t="n">
        <f aca="false">F21</f>
        <v>32.598</v>
      </c>
      <c r="S84" s="257" t="n">
        <f aca="false">L11</f>
        <v>0</v>
      </c>
      <c r="T84" s="257" t="n">
        <f aca="false">L12</f>
        <v>8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36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72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11.9677419354839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DIASPX</v>
      </c>
      <c r="U91" s="8" t="n">
        <f aca="false">IF(ISERROR(MATCH($T$93,'[1]liste reference'!$A$6:$A$1174,0)),MATCH($T$93,'[1]liste reference'!$B$6:$B$1174,0),(MATCH($T$93,'[1]liste reference'!$A$6:$A$1174,0)))</f>
        <v>40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DIASPX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2016-04-19T09:23:21Z</dcterms:created>
  <dc:creator>laurianne isebe</dc:creator>
  <dc:description/>
  <dc:language>fr-FR</dc:language>
  <cp:lastModifiedBy>laurianne isebe</cp:lastModifiedBy>
  <dcterms:modified xsi:type="dcterms:W3CDTF">2016-04-19T09:23:26Z</dcterms:modified>
  <cp:revision>0</cp:revision>
  <dc:subject/>
  <dc:title/>
</cp:coreProperties>
</file>