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<sst xmlns="http://schemas.openxmlformats.org/spreadsheetml/2006/main" count="163" uniqueCount="98">
  <si>
    <t xml:space="preserve">Relevés floristiques aquatiques - IBMR</t>
  </si>
  <si>
    <t xml:space="preserve">modèle Irstea-GIS</t>
  </si>
  <si>
    <t xml:space="preserve">SAGE ENVIRONNEMENT</t>
  </si>
  <si>
    <t xml:space="preserve">CBERNARD MSCHNEIDER</t>
  </si>
  <si>
    <t xml:space="preserve">BORNE</t>
  </si>
  <si>
    <t xml:space="preserve">BORNE A SAINT LAURENT LES BAINS</t>
  </si>
  <si>
    <t xml:space="preserve">06114800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</si>
  <si>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</si>
  <si>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</si>
  <si>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</si>
  <si>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</si>
  <si>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</si>
  <si>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</si>
  <si>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</si>
  <si>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</si>
  <si>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</si>
  <si>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OEDSPX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</si>
  <si>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</si>
  <si>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</si>
  <si>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</si>
  <si>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</si>
  <si>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faible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</si>
  <si>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</si>
  <si>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</si>
  <si>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</si>
  <si>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</si>
  <si>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</si>
  <si>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</si>
  <si>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</si>
  <si>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</si>
  <si>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</si>
  <si>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</si>
  <si>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</si>
  <si>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</si>
  <si>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</si>
  <si>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</si>
  <si>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</si>
  <si>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</si>
  <si>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</si>
  <si>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</si>
  <si>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</si>
  <si>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</si>
  <si>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</si>
  <si>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</si>
  <si>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</si>
  <si>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</si>
  <si>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</si>
  <si>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</si>
  <si>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</si>
  <si>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</si>
  <si>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</si>
  <si>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</si>
  <si>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</si>
  <si>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</si>
  <si>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</si>
  <si>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</si>
  <si>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</si>
  <si>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</si>
  <si>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</si>
  <si>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</si>
  <si>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</si>
  <si>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</si>
  <si>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</si>
  <si>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</si>
  <si>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</si>
  <si>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</si>
  <si>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</si>
  <si>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</si>
  <si>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</si>
  <si>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</si>
  <si>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</si>
  <si>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</si>
  <si>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</si>
  <si>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</si>
  <si>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</si>
  <si>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</si>
  <si>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</si>
  <si>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</si>
  <si>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</si>
  <si>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</si>
  <si>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LEASPX</t>
  </si>
  <si>
    <t xml:space="preserve"> -</t>
  </si>
  <si>
    <t xml:space="preserve">MELSPX</t>
  </si>
  <si>
    <t xml:space="preserve">PHOSPX</t>
  </si>
  <si>
    <t xml:space="preserve">STISPX</t>
  </si>
  <si>
    <t xml:space="preserve">DERWEB</t>
  </si>
  <si>
    <t xml:space="preserve">BRARIV</t>
  </si>
  <si>
    <t xml:space="preserve">EURSPX</t>
  </si>
  <si>
    <t xml:space="preserve">FONSQU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</si>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</sst>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ORLA_21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42206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12.6666666666667</v>
      </c>
      <c r="N5" s="51"/>
      <c r="O5" s="52" t="s">
        <v>16</v>
      </c>
      <c r="P5" s="53" t="n">
        <v>14.3333333333333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65</v>
      </c>
      <c r="C7" s="69" t="n">
        <v>35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12.8888888888889</v>
      </c>
      <c r="P8" s="83" t="n">
        <f aca="false">IF(ISERROR(AVERAGE(K23:K82)),"  ",AVERAGE(K23:K82))</f>
        <v>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1.43</v>
      </c>
      <c r="C9" s="86" t="n">
        <v>9.65</v>
      </c>
      <c r="D9" s="87"/>
      <c r="E9" s="87"/>
      <c r="F9" s="88" t="n">
        <f aca="false">($B9*$B$7+$C9*$C$7)/100</f>
        <v>4.307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3.0711722135745</v>
      </c>
      <c r="P9" s="83" t="n">
        <f aca="false">IF(ISERROR(STDEVP(K23:K82)),"  ",STDEVP(K23:K82))</f>
        <v>0.666666666666667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16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1.41</v>
      </c>
      <c r="C12" s="111" t="n">
        <v>8.91</v>
      </c>
      <c r="D12" s="87"/>
      <c r="E12" s="87"/>
      <c r="F12" s="104" t="n">
        <f aca="false">($B12*$B$7+$C12*$C$7)/100</f>
        <v>4.035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5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0.01</v>
      </c>
      <c r="C13" s="111" t="n">
        <v>0.04</v>
      </c>
      <c r="D13" s="87"/>
      <c r="E13" s="87"/>
      <c r="F13" s="104" t="n">
        <f aca="false">($B13*$B$7+$C13*$C$7)/100</f>
        <v>0.0205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10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 t="n">
        <v>0.01</v>
      </c>
      <c r="C14" s="111" t="n">
        <v>0.7</v>
      </c>
      <c r="D14" s="87"/>
      <c r="E14" s="87"/>
      <c r="F14" s="104" t="n">
        <f aca="false">($B14*$B$7+$C14*$C$7)/100</f>
        <v>0.2515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1</v>
      </c>
      <c r="M14" s="108"/>
      <c r="N14" s="119" t="s">
        <v>45</v>
      </c>
      <c r="O14" s="120" t="n">
        <f aca="false">COUNTIF($J$23:$J$82,"&gt;-1")</f>
        <v>9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1.43</v>
      </c>
      <c r="C17" s="111" t="n">
        <v>9.65</v>
      </c>
      <c r="D17" s="87"/>
      <c r="E17" s="87"/>
      <c r="F17" s="129"/>
      <c r="G17" s="130" t="n">
        <f aca="false">($B17*$B$7+$C17*$C$7)/100</f>
        <v>4.307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0.9</v>
      </c>
      <c r="N17" s="116" t="s">
        <v>53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4.307</v>
      </c>
      <c r="G19" s="150" t="n">
        <f aca="false">SUM(G16:G18)</f>
        <v>4.307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1.43</v>
      </c>
      <c r="C20" s="160" t="n">
        <f aca="false">SUM(C23:C62)</f>
        <v>9.65</v>
      </c>
      <c r="D20" s="161"/>
      <c r="E20" s="162" t="s">
        <v>55</v>
      </c>
      <c r="F20" s="163" t="n">
        <f aca="false">($B20*$B$7+$C20*$C$7)/100</f>
        <v>4.307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0.9295</v>
      </c>
      <c r="C21" s="171" t="n">
        <f aca="false">C20*C7/100</f>
        <v>3.3775</v>
      </c>
      <c r="D21" s="172" t="s">
        <v>58</v>
      </c>
      <c r="E21" s="173"/>
      <c r="F21" s="174" t="n">
        <f aca="false">B21+C21</f>
        <v>4.307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1</v>
      </c>
      <c r="C23" s="200" t="n">
        <v>0.1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Lemanea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0.685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15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Lemanea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1159</v>
      </c>
      <c r="R23" s="211" t="n">
        <f aca="false">IF(ISTEXT(H23),"",(B23*$B$7/100)+(C23*$C$7/100))</f>
        <v>0.685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30</v>
      </c>
      <c r="U23" s="212" t="n">
        <f aca="false">IF(ISERROR(S23*J23*K23),0,S23*J23*K23)</f>
        <v>60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LEASPX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59</v>
      </c>
    </row>
    <row r="24" customFormat="false" ht="12.75" hidden="false" customHeight="false" outlineLevel="0" collapsed="false">
      <c r="A24" s="216" t="s">
        <v>82</v>
      </c>
      <c r="B24" s="217" t="n">
        <v>0</v>
      </c>
      <c r="C24" s="218" t="n">
        <v>0.4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0.14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0.14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20</v>
      </c>
      <c r="U24" s="212" t="n">
        <f aca="false">IF(ISERROR(S24*J24*K24),0,S24*J24*K24)</f>
        <v>20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16</v>
      </c>
      <c r="B25" s="217" t="n">
        <v>0</v>
      </c>
      <c r="C25" s="218" t="n">
        <v>8.31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2.9085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2.9085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18</v>
      </c>
      <c r="U25" s="212" t="n">
        <f aca="false">IF(ISERROR(S25*J25*K25),0,S25*J25*K25)</f>
        <v>36</v>
      </c>
      <c r="V25" s="228" t="n">
        <f aca="false">IF(ISERROR(S25*K25),0,S25*K25)</f>
        <v>6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83</v>
      </c>
      <c r="B26" s="217" t="n">
        <v>0.31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Phormidium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0.2365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Phormidium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6414</v>
      </c>
      <c r="R26" s="211" t="n">
        <f aca="false">IF(ISTEXT(H26),"",(B26*$B$7/100)+(C26*$C$7/100))</f>
        <v>0.2365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26</v>
      </c>
      <c r="U26" s="212" t="n">
        <f aca="false">IF(ISERROR(S26*J26*K26),0,S26*J26*K26)</f>
        <v>52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PHOSPX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88</v>
      </c>
    </row>
    <row r="27" customFormat="false" ht="12.75" hidden="false" customHeight="false" outlineLevel="0" collapsed="false">
      <c r="A27" s="216" t="s">
        <v>84</v>
      </c>
      <c r="B27" s="217" t="n">
        <v>0.1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Stigeoclonium sp. (excep. S. tenue)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0.065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Stigeoclonium sp. (excep. S. tenue)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1119</v>
      </c>
      <c r="R27" s="211" t="n">
        <f aca="false">IF(ISTEXT(H27),"",(B27*$B$7/100)+(C27*$C$7/100))</f>
        <v>0.065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STISPX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104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0.7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Dermatocarpon weberi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0.2515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LIC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3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16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3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Dermatocarpon weberi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10217</v>
      </c>
      <c r="R28" s="211" t="n">
        <f aca="false">IF(ISTEXT(H28),"",(B28*$B$7/100)+(C28*$C$7/100))</f>
        <v>0.2515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32</v>
      </c>
      <c r="U28" s="212" t="n">
        <f aca="false">IF(ISERROR(S28*J28*K28),0,S28*J28*K28)</f>
        <v>96</v>
      </c>
      <c r="V28" s="228" t="n">
        <f aca="false">IF(ISERROR(S28*K28),0,S28*K28)</f>
        <v>6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DERWEB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124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Brachythecium rivulare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0.0035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Brachythecium rivulare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1260</v>
      </c>
      <c r="R29" s="211" t="n">
        <f aca="false">IF(ISTEXT(H29),"",(B29*$B$7/100)+(C29*$C$7/100))</f>
        <v>0.0035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15</v>
      </c>
      <c r="U29" s="212" t="n">
        <f aca="false">IF(ISERROR(S29*J29*K29),0,S29*J29*K29)</f>
        <v>30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BRARIV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203</v>
      </c>
    </row>
    <row r="30" customFormat="false" ht="12.75" hidden="false" customHeight="false" outlineLevel="0" collapsed="false">
      <c r="A30" s="216" t="s">
        <v>87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Eurhynchium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0.0035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nc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nc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Eurhynchium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1262</v>
      </c>
      <c r="R30" s="211" t="n">
        <f aca="false">IF(ISTEXT(H30),"",(B30*$B$7/100)+(C30*$C$7/100))</f>
        <v>0.0035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EURSPX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250</v>
      </c>
    </row>
    <row r="31" customFormat="false" ht="12.75" hidden="false" customHeight="false" outlineLevel="0" collapsed="false">
      <c r="A31" s="216" t="s">
        <v>88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Fontinalis squamosa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0.0035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16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3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Fontinalis squamosa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1312</v>
      </c>
      <c r="R31" s="211" t="n">
        <f aca="false">IF(ISTEXT(H31),"",(B31*$B$7/100)+(C31*$C$7/100))</f>
        <v>0.0035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16</v>
      </c>
      <c r="U31" s="212" t="n">
        <f aca="false">IF(ISERROR(S31*J31*K31),0,S31*J31*K31)</f>
        <v>48</v>
      </c>
      <c r="V31" s="228" t="n">
        <f aca="false">IF(ISERROR(S31*K31),0,S31*K31)</f>
        <v>3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FONSQU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277</v>
      </c>
    </row>
    <row r="32" customFormat="false" ht="12.75" hidden="false" customHeight="false" outlineLevel="0" collapsed="false">
      <c r="A32" s="216" t="s">
        <v>89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Rhynchostegium riparioides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12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Rhynchostegium riparioides</v>
      </c>
      <c r="M32" s="225"/>
      <c r="N32" s="225"/>
      <c r="O32" s="225"/>
      <c r="P32" s="226" t="s">
        <v>81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31691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12</v>
      </c>
      <c r="U32" s="212" t="n">
        <f aca="false">IF(ISERROR(S32*J32*K32),0,S32*J32*K32)</f>
        <v>12</v>
      </c>
      <c r="V32" s="228" t="n">
        <f aca="false">IF(ISERROR(S32*K32),0,S32*K32)</f>
        <v>1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RHYRIP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345</v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4.307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30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BORNE</v>
      </c>
      <c r="B84" s="180" t="str">
        <f aca="false">C3</f>
        <v>BORNE A SAINT LAURENT LES BAINS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12.6666666666667</v>
      </c>
      <c r="E84" s="254" t="n">
        <f aca="false">O13</f>
        <v>10</v>
      </c>
      <c r="F84" s="180" t="n">
        <f aca="false">O14</f>
        <v>9</v>
      </c>
      <c r="G84" s="180" t="n">
        <f aca="false">O15</f>
        <v>2</v>
      </c>
      <c r="H84" s="180" t="n">
        <f aca="false">O16</f>
        <v>5</v>
      </c>
      <c r="I84" s="180" t="n">
        <f aca="false">O17</f>
        <v>2</v>
      </c>
      <c r="J84" s="255" t="n">
        <f aca="false">O8</f>
        <v>12.8888888888889</v>
      </c>
      <c r="K84" s="256" t="n">
        <f aca="false">O9</f>
        <v>3.0711722135745</v>
      </c>
      <c r="L84" s="257" t="n">
        <f aca="false">O10</f>
        <v>6</v>
      </c>
      <c r="M84" s="257" t="n">
        <f aca="false">O11</f>
        <v>16</v>
      </c>
      <c r="N84" s="256" t="n">
        <f aca="false">P8</f>
        <v>2</v>
      </c>
      <c r="O84" s="256" t="n">
        <f aca="false">P9</f>
        <v>0.666666666666667</v>
      </c>
      <c r="P84" s="257" t="n">
        <f aca="false">P10</f>
        <v>1</v>
      </c>
      <c r="Q84" s="257" t="n">
        <f aca="false">P11</f>
        <v>3</v>
      </c>
      <c r="R84" s="257" t="n">
        <f aca="false">F21</f>
        <v>4.307</v>
      </c>
      <c r="S84" s="257" t="n">
        <f aca="false">L11</f>
        <v>0</v>
      </c>
      <c r="T84" s="257" t="n">
        <f aca="false">L12</f>
        <v>5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90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91</v>
      </c>
      <c r="S87" s="8"/>
      <c r="T87" s="263" t="n">
        <f aca="false">VLOOKUP($T$91,($A$23:$U$82),20,FALSE())</f>
        <v>18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92</v>
      </c>
      <c r="S88" s="8"/>
      <c r="T88" s="263" t="n">
        <f aca="false">VLOOKUP($T$91,($A$23:$U$82),21,FALSE())</f>
        <v>36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93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94</v>
      </c>
      <c r="S90" s="8" t="s">
        <v>10</v>
      </c>
      <c r="T90" s="264" t="n">
        <f aca="false">IF(OR(ISERROR(SUM($U$23:$U$82)/SUM($V$23:$V$82)),F7&lt;&gt;100),-1,(SUM($U$23:$U$82)-T88)/(SUM($V$23:$V$82)-T89))</f>
        <v>14.3333333333333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95</v>
      </c>
      <c r="S91" s="212"/>
      <c r="T91" s="212" t="str">
        <f aca="false">INDEX('[1]liste reference'!$A$6:$A$1174,$U$91)</f>
        <v>OEDSPX</v>
      </c>
      <c r="U91" s="8" t="n">
        <f aca="false">IF(ISERROR(MATCH($T$93,'[1]liste reference'!$A$6:$A$1174,0)),MATCH($T$93,'[1]liste reference'!$B$6:$B$1174,0),(MATCH($T$93,'[1]liste reference'!$A$6:$A$1174,0)))</f>
        <v>85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96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97</v>
      </c>
      <c r="S93" s="8"/>
      <c r="T93" s="212" t="str">
        <f aca="false">INDEX($A$23:$A$82,$T$92)</f>
        <v>OEDSPX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2016-04-01T09:26:17Z</dcterms:created>
  <dc:creator>Pierre-Edouard Belly</dc:creator>
  <dc:description/>
  <dc:language>fr-FR</dc:language>
  <cp:lastModifiedBy>Pierre-Edouard Belly</cp:lastModifiedBy>
  <dcterms:modified xsi:type="dcterms:W3CDTF">2016-04-01T09:26:19Z</dcterms:modified>
  <cp:revision>0</cp:revision>
  <dc:subject/>
  <dc:title/>
</cp:coreProperties>
</file>