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<sst xmlns="http://schemas.openxmlformats.org/spreadsheetml/2006/main" count="173" uniqueCount="108">
  <si>
    <t xml:space="preserve">Relevés floristiques aquatiques - IBMR</t>
  </si>
  <si>
    <t xml:space="preserve">modèle Irstea-GIS</t>
  </si>
  <si>
    <t xml:space="preserve">SAGE ENVIRONNEMENT</t>
  </si>
  <si>
    <t xml:space="preserve">LBOURGOIN CBERNARD</t>
  </si>
  <si>
    <t xml:space="preserve">IBIE</t>
  </si>
  <si>
    <t xml:space="preserve">IBIE A VALLON PONT D ARC</t>
  </si>
  <si>
    <t xml:space="preserve">06115080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</si>
  <si>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</si>
  <si>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</si>
  <si>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</si>
  <si>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</si>
  <si>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</si>
  <si>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</si>
  <si>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</si>
  <si>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</si>
  <si>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</si>
  <si>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ZYGSPX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</si>
  <si>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</si>
  <si>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</si>
  <si>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</si>
  <si>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</si>
  <si>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</si>
  <si>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</si>
  <si>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</si>
  <si>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</si>
  <si>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</si>
  <si>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</si>
  <si>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</si>
  <si>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</si>
  <si>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</si>
  <si>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</si>
  <si>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</si>
  <si>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</si>
  <si>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</si>
  <si>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</si>
  <si>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</si>
  <si>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</si>
  <si>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</si>
  <si>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</si>
  <si>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</si>
  <si>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</si>
  <si>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</si>
  <si>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</si>
  <si>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</si>
  <si>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</si>
  <si>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</si>
  <si>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</si>
  <si>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</si>
  <si>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</si>
  <si>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</si>
  <si>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</si>
  <si>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</si>
  <si>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</si>
  <si>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</si>
  <si>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</si>
  <si>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</si>
  <si>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</si>
  <si>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</si>
  <si>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</si>
  <si>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</si>
  <si>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</si>
  <si>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</si>
  <si>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</si>
  <si>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</si>
  <si>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</si>
  <si>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</si>
  <si>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</si>
  <si>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</si>
  <si>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</si>
  <si>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</si>
  <si>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</si>
  <si>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</si>
  <si>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</si>
  <si>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</si>
  <si>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</si>
  <si>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</si>
  <si>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</si>
  <si>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</si>
  <si>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</si>
  <si>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</si>
  <si>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CHESPX</t>
  </si>
  <si>
    <t xml:space="preserve"> -</t>
  </si>
  <si>
    <t xml:space="preserve">CLASPX</t>
  </si>
  <si>
    <t xml:space="preserve">ENCSPX</t>
  </si>
  <si>
    <t xml:space="preserve">MOUSPX</t>
  </si>
  <si>
    <t xml:space="preserve">NOSSPX</t>
  </si>
  <si>
    <t xml:space="preserve">OEDSPX</t>
  </si>
  <si>
    <t xml:space="preserve">PAASPX</t>
  </si>
  <si>
    <t xml:space="preserve">SPISPX</t>
  </si>
  <si>
    <t xml:space="preserve">TOYSPX</t>
  </si>
  <si>
    <t xml:space="preserve">BRYSPX</t>
  </si>
  <si>
    <t xml:space="preserve">CINFON</t>
  </si>
  <si>
    <t xml:space="preserve">CINRIP</t>
  </si>
  <si>
    <t xml:space="preserve">FISCRA</t>
  </si>
  <si>
    <t xml:space="preserve">HYGLUR</t>
  </si>
  <si>
    <t xml:space="preserve">PALCOM</t>
  </si>
  <si>
    <t xml:space="preserve">EQUSPX</t>
  </si>
  <si>
    <t xml:space="preserve">MENAQU</t>
  </si>
  <si>
    <t xml:space="preserve">JUNSPX</t>
  </si>
  <si>
    <t xml:space="preserve">SHONIG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</si>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</sst>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IBILA_20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12.219512195122</v>
      </c>
      <c r="N5" s="51"/>
      <c r="O5" s="52" t="s">
        <v>16</v>
      </c>
      <c r="P5" s="53" t="n">
        <v>12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70</v>
      </c>
      <c r="C7" s="69" t="n">
        <v>30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11.6923076923077</v>
      </c>
      <c r="P8" s="83" t="n">
        <f aca="false">IF(ISERROR(AVERAGE(K23:K82)),"  ",AVERAGE(K23:K82))</f>
        <v>1.84615384615385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8.89</v>
      </c>
      <c r="C9" s="86" t="n">
        <v>80.97</v>
      </c>
      <c r="D9" s="87"/>
      <c r="E9" s="87"/>
      <c r="F9" s="88" t="n">
        <f aca="false">($B9*$B$7+$C9*$C$7)/100</f>
        <v>30.514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3.3370787636129</v>
      </c>
      <c r="P9" s="83" t="n">
        <f aca="false">IF(ISERROR(STDEVP(K23:K82)),"  ",STDEVP(K23:K82))</f>
        <v>0.661717328234048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8.85</v>
      </c>
      <c r="C12" s="111" t="n">
        <v>80.9</v>
      </c>
      <c r="D12" s="87"/>
      <c r="E12" s="87"/>
      <c r="F12" s="104" t="n">
        <f aca="false">($B12*$B$7+$C12*$C$7)/100</f>
        <v>30.465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10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0.04</v>
      </c>
      <c r="C13" s="111" t="n">
        <v>0.02</v>
      </c>
      <c r="D13" s="87"/>
      <c r="E13" s="87"/>
      <c r="F13" s="104" t="n">
        <f aca="false">($B13*$B$7+$C13*$C$7)/100</f>
        <v>0.034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6</v>
      </c>
      <c r="M13" s="108"/>
      <c r="N13" s="116" t="s">
        <v>42</v>
      </c>
      <c r="O13" s="117" t="n">
        <f aca="false">COUNTIF(F23:F82,"&gt;0")</f>
        <v>20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1</v>
      </c>
      <c r="M14" s="108"/>
      <c r="N14" s="119" t="s">
        <v>45</v>
      </c>
      <c r="O14" s="120" t="n">
        <f aca="false">COUNTIF($J$23:$J$82,"&gt;-1")</f>
        <v>13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 t="n">
        <v>0.05</v>
      </c>
      <c r="D15" s="87"/>
      <c r="E15" s="87"/>
      <c r="F15" s="104" t="n">
        <f aca="false">($B15*$B$7+$C15*$C$7)/100</f>
        <v>0.015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3</v>
      </c>
      <c r="M15" s="108"/>
      <c r="N15" s="116" t="s">
        <v>48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7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8.39</v>
      </c>
      <c r="C17" s="111" t="n">
        <v>80.92</v>
      </c>
      <c r="D17" s="87"/>
      <c r="E17" s="87"/>
      <c r="F17" s="129"/>
      <c r="G17" s="130" t="n">
        <f aca="false">($B17*$B$7+$C17*$C$7)/100</f>
        <v>30.149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0.65</v>
      </c>
      <c r="N17" s="116" t="s">
        <v>53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 t="n">
        <v>0.05</v>
      </c>
      <c r="D18" s="87"/>
      <c r="E18" s="139" t="s">
        <v>55</v>
      </c>
      <c r="F18" s="129"/>
      <c r="G18" s="130" t="n">
        <f aca="false">($B18*$B$7+$C18*$C$7)/100</f>
        <v>0.015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30.514</v>
      </c>
      <c r="G19" s="150" t="n">
        <f aca="false">SUM(G16:G18)</f>
        <v>30.164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8.89</v>
      </c>
      <c r="C20" s="160" t="n">
        <f aca="false">SUM(C23:C62)</f>
        <v>80.97</v>
      </c>
      <c r="D20" s="161"/>
      <c r="E20" s="162" t="s">
        <v>55</v>
      </c>
      <c r="F20" s="163" t="n">
        <f aca="false">($B20*$B$7+$C20*$C$7)/100</f>
        <v>30.514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6.223</v>
      </c>
      <c r="C21" s="171" t="n">
        <f aca="false">C20*C7/100</f>
        <v>24.291</v>
      </c>
      <c r="D21" s="172" t="s">
        <v>58</v>
      </c>
      <c r="E21" s="173"/>
      <c r="F21" s="174" t="n">
        <f aca="false">B21+C21</f>
        <v>30.514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0.2</v>
      </c>
      <c r="C23" s="200" t="n">
        <v>0.1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Chaetophora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0.17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12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Chaetophora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1117</v>
      </c>
      <c r="R23" s="211" t="n">
        <f aca="false">IF(ISTEXT(H23),"",(B23*$B$7/100)+(C23*$C$7/100))</f>
        <v>0.17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24</v>
      </c>
      <c r="U23" s="212" t="n">
        <f aca="false">IF(ISERROR(S23*J23*K23),0,S23*J23*K23)</f>
        <v>48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CHESPX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14</v>
      </c>
    </row>
    <row r="24" customFormat="false" ht="12.75" hidden="false" customHeight="false" outlineLevel="0" collapsed="false">
      <c r="A24" s="216" t="s">
        <v>82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0.007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0.007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6</v>
      </c>
      <c r="U24" s="212" t="n">
        <f aca="false">IF(ISERROR(S24*J24*K24),0,S24*J24*K24)</f>
        <v>6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83</v>
      </c>
      <c r="B25" s="217" t="n">
        <v>0</v>
      </c>
      <c r="C25" s="218" t="n">
        <v>0.8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Encyonema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0.24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Encyonema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9378</v>
      </c>
      <c r="R25" s="211" t="n">
        <f aca="false">IF(ISTEXT(H25),"",(B25*$B$7/100)+(C25*$C$7/100))</f>
        <v>0.24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ENCSPX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45</v>
      </c>
    </row>
    <row r="26" customFormat="false" ht="12.75" hidden="false" customHeight="false" outlineLevel="0" collapsed="false">
      <c r="A26" s="216" t="s">
        <v>84</v>
      </c>
      <c r="B26" s="217" t="n">
        <v>0.37</v>
      </c>
      <c r="C26" s="218" t="n">
        <v>36.4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Mougeotia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11.179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Mougeotia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1146</v>
      </c>
      <c r="R26" s="211" t="n">
        <f aca="false">IF(ISTEXT(H26),"",(B26*$B$7/100)+(C26*$C$7/100))</f>
        <v>11.179</v>
      </c>
      <c r="S26" s="212" t="n">
        <f aca="false">IF(OR(ISTEXT(H26),R26=0),"",IF(R26&lt;0.1,1,IF(R26&lt;1,2,IF(R26&lt;10,3,IF(R26&lt;50,4,IF(R26&gt;=50,5,""))))))</f>
        <v>4</v>
      </c>
      <c r="T26" s="212" t="n">
        <f aca="false">IF(ISERROR(S26*J26),0,S26*J26)</f>
        <v>52</v>
      </c>
      <c r="U26" s="212" t="n">
        <f aca="false">IF(ISERROR(S26*J26*K26),0,S26*J26*K26)</f>
        <v>104</v>
      </c>
      <c r="V26" s="228" t="n">
        <f aca="false">IF(ISERROR(S26*K26),0,S26*K26)</f>
        <v>8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MOUSPX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68</v>
      </c>
    </row>
    <row r="27" customFormat="false" ht="12.75" hidden="false" customHeight="false" outlineLevel="0" collapsed="false">
      <c r="A27" s="216" t="s">
        <v>85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Nostoc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0.007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9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Nostoc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1105</v>
      </c>
      <c r="R27" s="211" t="n">
        <f aca="false">IF(ISTEXT(H27),"",(B27*$B$7/100)+(C27*$C$7/100))</f>
        <v>0.007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9</v>
      </c>
      <c r="U27" s="212" t="n">
        <f aca="false">IF(ISERROR(S27*J27*K27),0,S27*J27*K27)</f>
        <v>9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NOSSPX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84</v>
      </c>
    </row>
    <row r="28" customFormat="false" ht="12.75" hidden="false" customHeight="false" outlineLevel="0" collapsed="false">
      <c r="A28" s="216" t="s">
        <v>86</v>
      </c>
      <c r="B28" s="217" t="n">
        <v>0.22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Oedogonium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0.154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6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Oedogonium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1134</v>
      </c>
      <c r="R28" s="211" t="n">
        <f aca="false">IF(ISTEXT(H28),"",(B28*$B$7/100)+(C28*$C$7/100))</f>
        <v>0.154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12</v>
      </c>
      <c r="U28" s="212" t="n">
        <f aca="false">IF(ISERROR(S28*J28*K28),0,S28*J28*K28)</f>
        <v>24</v>
      </c>
      <c r="V28" s="228" t="n">
        <f aca="false">IF(ISERROR(S28*K28),0,S28*K28)</f>
        <v>4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OEDSPX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85</v>
      </c>
    </row>
    <row r="29" customFormat="false" ht="12.75" hidden="false" customHeight="false" outlineLevel="0" collapsed="false">
      <c r="A29" s="216" t="s">
        <v>87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Paralemanea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0.007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nc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nc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Paralemanea sp.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31566</v>
      </c>
      <c r="R29" s="211" t="n">
        <f aca="false">IF(ISTEXT(H29),"",(B29*$B$7/100)+(C29*$C$7/100))</f>
        <v>0.007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PAASPX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87</v>
      </c>
    </row>
    <row r="30" customFormat="false" ht="12.75" hidden="false" customHeight="false" outlineLevel="0" collapsed="false">
      <c r="A30" s="216" t="s">
        <v>88</v>
      </c>
      <c r="B30" s="217" t="n">
        <v>0.2</v>
      </c>
      <c r="C30" s="218" t="n">
        <v>0.7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Spirogyra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0.35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Spirogyra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1147</v>
      </c>
      <c r="R30" s="211" t="n">
        <f aca="false">IF(ISTEXT(H30),"",(B30*$B$7/100)+(C30*$C$7/100))</f>
        <v>0.35</v>
      </c>
      <c r="S30" s="212" t="n">
        <f aca="false">IF(OR(ISTEXT(H30),R30=0),"",IF(R30&lt;0.1,1,IF(R30&lt;1,2,IF(R30&lt;10,3,IF(R30&lt;50,4,IF(R30&gt;=50,5,""))))))</f>
        <v>2</v>
      </c>
      <c r="T30" s="212" t="n">
        <f aca="false">IF(ISERROR(S30*J30),0,S30*J30)</f>
        <v>20</v>
      </c>
      <c r="U30" s="212" t="n">
        <f aca="false">IF(ISERROR(S30*J30*K30),0,S30*J30*K30)</f>
        <v>20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SPISPX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102</v>
      </c>
    </row>
    <row r="31" customFormat="false" ht="12.75" hidden="false" customHeight="false" outlineLevel="0" collapsed="false">
      <c r="A31" s="216" t="s">
        <v>89</v>
      </c>
      <c r="B31" s="217" t="n">
        <v>4.23</v>
      </c>
      <c r="C31" s="218" t="n">
        <v>35.3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Tolypothrix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13.551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Tolypothrix sp.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6304</v>
      </c>
      <c r="R31" s="211" t="n">
        <f aca="false">IF(ISTEXT(H31),"",(B31*$B$7/100)+(C31*$C$7/100))</f>
        <v>13.551</v>
      </c>
      <c r="S31" s="212" t="n">
        <f aca="false">IF(OR(ISTEXT(H31),R31=0),"",IF(R31&lt;0.1,1,IF(R31&lt;1,2,IF(R31&lt;10,3,IF(R31&lt;50,4,IF(R31&gt;=50,5,""))))))</f>
        <v>4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TOYSPX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113</v>
      </c>
    </row>
    <row r="32" customFormat="false" ht="12.75" hidden="false" customHeight="false" outlineLevel="0" collapsed="false">
      <c r="A32" s="216" t="s">
        <v>16</v>
      </c>
      <c r="B32" s="217" t="n">
        <v>3.6</v>
      </c>
      <c r="C32" s="218" t="n">
        <v>7.6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Zygnema sp.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4.8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ALG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2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13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3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Zygnema sp.</v>
      </c>
      <c r="M32" s="225"/>
      <c r="N32" s="225"/>
      <c r="O32" s="225"/>
      <c r="P32" s="226" t="s">
        <v>81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1148</v>
      </c>
      <c r="R32" s="211" t="n">
        <f aca="false">IF(ISTEXT(H32),"",(B32*$B$7/100)+(C32*$C$7/100))</f>
        <v>4.8</v>
      </c>
      <c r="S32" s="212" t="n">
        <f aca="false">IF(OR(ISTEXT(H32),R32=0),"",IF(R32&lt;0.1,1,IF(R32&lt;1,2,IF(R32&lt;10,3,IF(R32&lt;50,4,IF(R32&gt;=50,5,""))))))</f>
        <v>3</v>
      </c>
      <c r="T32" s="212" t="n">
        <f aca="false">IF(ISERROR(S32*J32),0,S32*J32)</f>
        <v>39</v>
      </c>
      <c r="U32" s="212" t="n">
        <f aca="false">IF(ISERROR(S32*J32*K32),0,S32*J32*K32)</f>
        <v>117</v>
      </c>
      <c r="V32" s="228" t="n">
        <f aca="false">IF(ISERROR(S32*K32),0,S32*K32)</f>
        <v>9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ZYGSPX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119</v>
      </c>
    </row>
    <row r="33" customFormat="false" ht="12.75" hidden="false" customHeight="false" outlineLevel="0" collapsed="false">
      <c r="A33" s="216" t="s">
        <v>90</v>
      </c>
      <c r="B33" s="217" t="n">
        <v>0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Bryum sp.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0.003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nc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nc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Bryum sp.</v>
      </c>
      <c r="M33" s="225"/>
      <c r="N33" s="225"/>
      <c r="O33" s="225"/>
      <c r="P33" s="226" t="s">
        <v>81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1272</v>
      </c>
      <c r="R33" s="211" t="n">
        <f aca="false">IF(ISTEXT(H33),"",(B33*$B$7/100)+(C33*$C$7/100))</f>
        <v>0.003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BRYSPX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213</v>
      </c>
    </row>
    <row r="34" customFormat="false" ht="12.75" hidden="false" customHeight="false" outlineLevel="0" collapsed="false">
      <c r="A34" s="216" t="s">
        <v>91</v>
      </c>
      <c r="B34" s="217" t="n">
        <v>0.01</v>
      </c>
      <c r="C34" s="218" t="n">
        <v>0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Cinclidotus fontinaloides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0.007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Cinclidotus fontinaloides</v>
      </c>
      <c r="M34" s="225"/>
      <c r="N34" s="225"/>
      <c r="O34" s="225"/>
      <c r="P34" s="226" t="s">
        <v>81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1320</v>
      </c>
      <c r="R34" s="211" t="n">
        <f aca="false">IF(ISTEXT(H34),"",(B34*$B$7/100)+(C34*$C$7/100))</f>
        <v>0.007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12</v>
      </c>
      <c r="U34" s="212" t="n">
        <f aca="false">IF(ISERROR(S34*J34*K34),0,S34*J34*K34)</f>
        <v>24</v>
      </c>
      <c r="V34" s="228" t="n">
        <f aca="false">IF(ISERROR(S34*K34),0,S34*K34)</f>
        <v>2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CINFON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223</v>
      </c>
    </row>
    <row r="35" customFormat="false" ht="12.75" hidden="false" customHeight="false" outlineLevel="0" collapsed="false">
      <c r="A35" s="216" t="s">
        <v>92</v>
      </c>
      <c r="B35" s="217" t="n">
        <v>0.01</v>
      </c>
      <c r="C35" s="218" t="n">
        <v>0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Cinclidotus riparius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0.007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BRm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5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13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Cinclidotus riparius</v>
      </c>
      <c r="M35" s="225"/>
      <c r="N35" s="225"/>
      <c r="O35" s="225"/>
      <c r="P35" s="226" t="s">
        <v>81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1321</v>
      </c>
      <c r="R35" s="211" t="n">
        <f aca="false">IF(ISTEXT(H35),"",(B35*$B$7/100)+(C35*$C$7/100))</f>
        <v>0.007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13</v>
      </c>
      <c r="U35" s="212" t="n">
        <f aca="false">IF(ISERROR(S35*J35*K35),0,S35*J35*K35)</f>
        <v>26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CINRIP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224</v>
      </c>
    </row>
    <row r="36" customFormat="false" ht="12.75" hidden="false" customHeight="false" outlineLevel="0" collapsed="false">
      <c r="A36" s="216" t="s">
        <v>93</v>
      </c>
      <c r="B36" s="217" t="n">
        <v>0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Fissidens crassipes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0.003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BRm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5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12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Fissidens crassipes</v>
      </c>
      <c r="M36" s="225"/>
      <c r="N36" s="225"/>
      <c r="O36" s="225"/>
      <c r="P36" s="226" t="s">
        <v>81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1294</v>
      </c>
      <c r="R36" s="211" t="n">
        <f aca="false">IF(ISTEXT(H36),"",(B36*$B$7/100)+(C36*$C$7/100))</f>
        <v>0.003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12</v>
      </c>
      <c r="U36" s="212" t="n">
        <f aca="false">IF(ISERROR(S36*J36*K36),0,S36*J36*K36)</f>
        <v>24</v>
      </c>
      <c r="V36" s="228" t="n">
        <f aca="false">IF(ISERROR(S36*K36),0,S36*K36)</f>
        <v>2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FISCRA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255</v>
      </c>
    </row>
    <row r="37" customFormat="false" ht="12.75" hidden="false" customHeight="false" outlineLevel="0" collapsed="false">
      <c r="A37" s="216" t="s">
        <v>94</v>
      </c>
      <c r="B37" s="217" t="n">
        <v>0.02</v>
      </c>
      <c r="C37" s="218" t="n">
        <v>0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Hygrohypnum luridum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0.014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BRm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5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19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3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Hygrohypnum luridum</v>
      </c>
      <c r="M37" s="225"/>
      <c r="N37" s="225"/>
      <c r="O37" s="225"/>
      <c r="P37" s="226" t="s">
        <v>81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1240</v>
      </c>
      <c r="R37" s="211" t="n">
        <f aca="false">IF(ISTEXT(H37),"",(B37*$B$7/100)+(C37*$C$7/100))</f>
        <v>0.014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19</v>
      </c>
      <c r="U37" s="212" t="n">
        <f aca="false">IF(ISERROR(S37*J37*K37),0,S37*J37*K37)</f>
        <v>57</v>
      </c>
      <c r="V37" s="228" t="n">
        <f aca="false">IF(ISERROR(S37*K37),0,S37*K37)</f>
        <v>3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HYGLUR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287</v>
      </c>
    </row>
    <row r="38" customFormat="false" ht="12.75" hidden="false" customHeight="false" outlineLevel="0" collapsed="false">
      <c r="A38" s="216" t="s">
        <v>95</v>
      </c>
      <c r="B38" s="217" t="n">
        <v>0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Palustriella commutata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0.003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BRm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5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15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2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Palustriella commutata</v>
      </c>
      <c r="M38" s="225"/>
      <c r="N38" s="225"/>
      <c r="O38" s="225"/>
      <c r="P38" s="226" t="s">
        <v>81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19903</v>
      </c>
      <c r="R38" s="211" t="n">
        <f aca="false">IF(ISTEXT(H38),"",(B38*$B$7/100)+(C38*$C$7/100))</f>
        <v>0.003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15</v>
      </c>
      <c r="U38" s="212" t="n">
        <f aca="false">IF(ISERROR(S38*J38*K38),0,S38*J38*K38)</f>
        <v>30</v>
      </c>
      <c r="V38" s="228" t="n">
        <f aca="false">IF(ISERROR(S38*K38),0,S38*K38)</f>
        <v>2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PALCOM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309</v>
      </c>
    </row>
    <row r="39" customFormat="false" ht="12.75" hidden="false" customHeight="false" outlineLevel="0" collapsed="false">
      <c r="A39" s="216" t="s">
        <v>96</v>
      </c>
      <c r="B39" s="217" t="n">
        <v>0</v>
      </c>
      <c r="C39" s="218" t="n">
        <v>0.01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Equisetum sp.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0.003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PTE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6</v>
      </c>
      <c r="I39" s="8" t="n">
        <f aca="false">IF(A39="","",1)</f>
        <v>1</v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nc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nc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Equisetum sp.</v>
      </c>
      <c r="M39" s="225"/>
      <c r="N39" s="225"/>
      <c r="O39" s="225"/>
      <c r="P39" s="226" t="s">
        <v>81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1383</v>
      </c>
      <c r="R39" s="211" t="n">
        <f aca="false">IF(ISTEXT(H39),"",(B39*$B$7/100)+(C39*$C$7/100))</f>
        <v>0.003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EQUSPX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391</v>
      </c>
    </row>
    <row r="40" customFormat="false" ht="12.75" hidden="false" customHeight="false" outlineLevel="0" collapsed="false">
      <c r="A40" s="216" t="s">
        <v>97</v>
      </c>
      <c r="B40" s="217" t="n">
        <v>0</v>
      </c>
      <c r="C40" s="218" t="n">
        <v>0.01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Mentha aquatica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0.003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PHe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8</v>
      </c>
      <c r="I40" s="8" t="n">
        <f aca="false">IF(A40="","",1)</f>
        <v>1</v>
      </c>
      <c r="J40" s="224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12</v>
      </c>
      <c r="K40" s="224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1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Mentha aquatica</v>
      </c>
      <c r="M40" s="225"/>
      <c r="N40" s="225"/>
      <c r="O40" s="225"/>
      <c r="P40" s="226" t="s">
        <v>81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1791</v>
      </c>
      <c r="R40" s="211" t="n">
        <f aca="false">IF(ISTEXT(H40),"",(B40*$B$7/100)+(C40*$C$7/100))</f>
        <v>0.003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12</v>
      </c>
      <c r="U40" s="212" t="n">
        <f aca="false">IF(ISERROR(S40*J40*K40),0,S40*J40*K40)</f>
        <v>12</v>
      </c>
      <c r="V40" s="228" t="n">
        <f aca="false">IF(ISERROR(S40*K40),0,S40*K40)</f>
        <v>1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MENAQU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694</v>
      </c>
    </row>
    <row r="41" customFormat="false" ht="12.75" hidden="false" customHeight="false" outlineLevel="0" collapsed="false">
      <c r="A41" s="216" t="s">
        <v>98</v>
      </c>
      <c r="B41" s="217" t="n">
        <v>0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Juncus sp.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0.003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PHg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9</v>
      </c>
      <c r="I41" s="8" t="n">
        <f aca="false">IF(A41="","",1)</f>
        <v>1</v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nc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nc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Juncus sp.</v>
      </c>
      <c r="M41" s="225"/>
      <c r="N41" s="225"/>
      <c r="O41" s="225"/>
      <c r="P41" s="226" t="s">
        <v>81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1606</v>
      </c>
      <c r="R41" s="211" t="n">
        <f aca="false">IF(ISTEXT(H41),"",(B41*$B$7/100)+(C41*$C$7/100))</f>
        <v>0.003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JUNSPX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881</v>
      </c>
    </row>
    <row r="42" customFormat="false" ht="12.75" hidden="false" customHeight="false" outlineLevel="0" collapsed="false">
      <c r="A42" s="216" t="s">
        <v>99</v>
      </c>
      <c r="B42" s="217" t="n">
        <v>0</v>
      </c>
      <c r="C42" s="218" t="n">
        <v>0.01</v>
      </c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>Schoenus nigricans</v>
      </c>
      <c r="E42" s="220" t="e">
        <f aca="false">IF(D42="",0,VLOOKUP(D42,D$22:D41,1,0))</f>
        <v>#N/A</v>
      </c>
      <c r="F42" s="221" t="n">
        <f aca="false">IF(AND(OR(A42="",A42="!!!!!!"),B42="",C42=""),"",IF(OR(AND(B42="",C42=""),ISERROR(C42+B42)),"!!!",($B42*$B$7+$C42*$C$7)/100))</f>
        <v>0.003</v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>PHg</v>
      </c>
      <c r="H42" s="223" t="n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9</v>
      </c>
      <c r="I42" s="8" t="n">
        <f aca="false">IF(A42="","",1)</f>
        <v>1</v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nc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nc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>Schoenus nigricans</v>
      </c>
      <c r="M42" s="225"/>
      <c r="N42" s="225"/>
      <c r="O42" s="225"/>
      <c r="P42" s="226" t="s">
        <v>81</v>
      </c>
      <c r="Q42" s="227" t="n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>19684</v>
      </c>
      <c r="R42" s="211" t="n">
        <f aca="false">IF(ISTEXT(H42),"",(B42*$B$7/100)+(C42*$C$7/100))</f>
        <v>0.003</v>
      </c>
      <c r="S42" s="212" t="n">
        <f aca="false">IF(OR(ISTEXT(H42),R42=0),"",IF(R42&lt;0.1,1,IF(R42&lt;1,2,IF(R42&lt;10,3,IF(R42&lt;50,4,IF(R42&gt;=50,5,""))))))</f>
        <v>1</v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>SHONIG</v>
      </c>
      <c r="Z42" s="197" t="n">
        <f aca="false">IF(ISERROR(MATCH(A42,'[1]liste reference'!$A$6:$A$1174,0)),IF(ISERROR(MATCH(A42,'[1]liste reference'!$B$6:$B$1174,0)),"",(MATCH(A42,'[1]liste reference'!$B$6:$B$1174,0))),(MATCH(A42,'[1]liste reference'!$A$6:$A$1174,0)))</f>
        <v>960</v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30.514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41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IBIE</v>
      </c>
      <c r="B84" s="180" t="str">
        <f aca="false">C3</f>
        <v>IBIE A VALLON PONT D ARC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12.219512195122</v>
      </c>
      <c r="E84" s="254" t="n">
        <f aca="false">O13</f>
        <v>20</v>
      </c>
      <c r="F84" s="180" t="n">
        <f aca="false">O14</f>
        <v>13</v>
      </c>
      <c r="G84" s="180" t="n">
        <f aca="false">O15</f>
        <v>4</v>
      </c>
      <c r="H84" s="180" t="n">
        <f aca="false">O16</f>
        <v>7</v>
      </c>
      <c r="I84" s="180" t="n">
        <f aca="false">O17</f>
        <v>2</v>
      </c>
      <c r="J84" s="255" t="n">
        <f aca="false">O8</f>
        <v>11.6923076923077</v>
      </c>
      <c r="K84" s="256" t="n">
        <f aca="false">O9</f>
        <v>3.3370787636129</v>
      </c>
      <c r="L84" s="257" t="n">
        <f aca="false">O10</f>
        <v>6</v>
      </c>
      <c r="M84" s="257" t="n">
        <f aca="false">O11</f>
        <v>19</v>
      </c>
      <c r="N84" s="256" t="n">
        <f aca="false">P8</f>
        <v>1.84615384615385</v>
      </c>
      <c r="O84" s="256" t="n">
        <f aca="false">P9</f>
        <v>0.661717328234048</v>
      </c>
      <c r="P84" s="257" t="n">
        <f aca="false">P10</f>
        <v>1</v>
      </c>
      <c r="Q84" s="257" t="n">
        <f aca="false">P11</f>
        <v>3</v>
      </c>
      <c r="R84" s="257" t="n">
        <f aca="false">F21</f>
        <v>30.514</v>
      </c>
      <c r="S84" s="257" t="n">
        <f aca="false">L11</f>
        <v>0</v>
      </c>
      <c r="T84" s="257" t="n">
        <f aca="false">L12</f>
        <v>10</v>
      </c>
      <c r="U84" s="257" t="n">
        <f aca="false">L13</f>
        <v>6</v>
      </c>
      <c r="V84" s="258" t="n">
        <f aca="false">L15</f>
        <v>3</v>
      </c>
      <c r="W84" s="259" t="n">
        <f aca="false">L15</f>
        <v>3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100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101</v>
      </c>
      <c r="S87" s="8"/>
      <c r="T87" s="263" t="n">
        <f aca="false">VLOOKUP($T$91,($A$23:$U$82),20,FALSE())</f>
        <v>39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102</v>
      </c>
      <c r="S88" s="8"/>
      <c r="T88" s="263" t="n">
        <f aca="false">VLOOKUP($T$91,($A$23:$U$82),21,FALSE())</f>
        <v>117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103</v>
      </c>
      <c r="S89" s="8"/>
      <c r="T89" s="263" t="n">
        <f aca="false">MAX($V$23:$V$82)</f>
        <v>9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104</v>
      </c>
      <c r="S90" s="8" t="s">
        <v>10</v>
      </c>
      <c r="T90" s="264" t="n">
        <f aca="false">IF(OR(ISERROR(SUM($U$23:$U$82)/SUM($V$23:$V$82)),F7&lt;&gt;100),-1,(SUM($U$23:$U$82)-T88)/(SUM($V$23:$V$82)-T89))</f>
        <v>12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105</v>
      </c>
      <c r="S91" s="212"/>
      <c r="T91" s="212" t="str">
        <f aca="false">INDEX('[1]liste reference'!$A$6:$A$1174,$U$91)</f>
        <v>ZYGSPX</v>
      </c>
      <c r="U91" s="8" t="n">
        <f aca="false">IF(ISERROR(MATCH($T$93,'[1]liste reference'!$A$6:$A$1174,0)),MATCH($T$93,'[1]liste reference'!$B$6:$B$1174,0),(MATCH($T$93,'[1]liste reference'!$A$6:$A$1174,0)))</f>
        <v>119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106</v>
      </c>
      <c r="S92" s="8"/>
      <c r="T92" s="8" t="n">
        <f aca="false">MATCH(T89,$V$23:$V$82,0)</f>
        <v>10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107</v>
      </c>
      <c r="S93" s="8"/>
      <c r="T93" s="212" t="str">
        <f aca="false">INDEX($A$23:$A$82,$T$92)</f>
        <v>ZYGSPX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2016-01-25T11:34:37Z</dcterms:created>
  <dc:creator>Laboratoire hydrobiologie SAGE</dc:creator>
  <dc:description/>
  <dc:language>fr-FR</dc:language>
  <cp:lastModifiedBy>Laboratoire hydrobiologie SAGE</cp:lastModifiedBy>
  <dcterms:modified xsi:type="dcterms:W3CDTF">2016-01-25T11:34:48Z</dcterms:modified>
  <cp:revision>0</cp:revision>
  <dc:subject/>
  <dc:title/>
</cp:coreProperties>
</file>