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15700" sheetId="6" state="visible" r:id="rId8"/>
    <sheet name="jgjg" sheetId="7" state="hidden" r:id="rId9"/>
    <sheet name="liste codes réf" sheetId="8" state="hidden" r:id="rId10"/>
  </sheets>
  <definedNames>
    <definedName function="false" hidden="false" localSheetId="5" name="_xlnm.Print_Area" vbProcedure="false">'06115700'!$A$1:$Q$82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'06115700'!$A$1:$Q$82</definedName>
    <definedName function="false" hidden="false" localSheetId="5" name="_xlnm__FilterDatabase" vbProcedure="false">'06115700'!$A$1:$C$1415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<sst xmlns="http://schemas.openxmlformats.org/spreadsheetml/2006/main" count="8838" uniqueCount="3497">
  <si>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</si>
  <si>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</si>
  <si>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</si>
  <si>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</si>
  <si>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</si>
  <si>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</si>
  <si>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</si>
  <si>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</si>
  <si>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</si>
  <si>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</si>
  <si>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</si>
  <si>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</si>
  <si>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</si>
  <si>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</si>
  <si>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</si>
  <si>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</si>
  <si>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</si>
  <si>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</si>
  <si>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</si>
  <si>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</si>
  <si>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</si>
  <si>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</si>
  <si>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</si>
  <si>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</si>
  <si>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</si>
  <si>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</si>
  <si>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</si>
  <si>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</si>
  <si>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</si>
  <si>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</si>
  <si>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</si>
  <si>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</si>
  <si>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</si>
  <si>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</si>
  <si>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</si>
  <si>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</si>
  <si>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</si>
  <si>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</si>
  <si>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</si>
  <si>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</si>
  <si>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</si>
  <si>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</si>
  <si>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</si>
  <si>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</si>
  <si>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</si>
  <si>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</si>
  <si>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</si>
  <si>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</si>
  <si>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</si>
  <si>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</si>
  <si>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</si>
  <si>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</si>
  <si>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</si>
  <si>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</si>
  <si>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</si>
  <si>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</si>
  <si>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</si>
  <si>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</si>
  <si>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</si>
  <si>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</si>
  <si>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</si>
  <si>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</si>
  <si>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</si>
  <si>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</si>
  <si>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</si>
  <si>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</si>
  <si>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</si>
  <si>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</si>
  <si>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</si>
  <si>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</si>
  <si>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</si>
  <si>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</si>
  <si>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</si>
  <si>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</si>
  <si>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</si>
  <si>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</si>
  <si>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</si>
  <si>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</si>
  <si>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</si>
  <si>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</si>
  <si>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</si>
  <si>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</si>
  <si>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</si>
  <si>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</si>
  <si>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</si>
  <si>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</si>
  <si>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</si>
  <si>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</si>
  <si>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</si>
  <si>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</si>
  <si>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</si>
  <si>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</si>
  <si>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</si>
  <si>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</si>
  <si>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</si>
  <si>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</si>
  <si>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</si>
  <si>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</si>
  <si>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</si>
  <si>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</si>
  <si>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</si>
  <si>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</si>
  <si>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</si>
  <si>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</si>
  <si>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</si>
  <si>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</si>
  <si>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</si>
  <si>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</si>
  <si>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</si>
  <si>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</si>
  <si>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</si>
  <si>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</si>
  <si>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</si>
  <si>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</si>
  <si>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</si>
  <si>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</si>
  <si>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</si>
  <si>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</si>
  <si>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</si>
  <si>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</si>
  <si>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</si>
  <si>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</si>
  <si>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</si>
  <si>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</si>
  <si>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</si>
  <si>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</si>
  <si>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</si>
  <si>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</si>
  <si>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</si>
  <si>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</si>
  <si>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</si>
  <si>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</si>
  <si>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</si>
  <si>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</si>
  <si>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</si>
  <si>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</si>
  <si>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</si>
  <si>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</si>
  <si>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</si>
  <si>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</si>
  <si>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</si>
  <si>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</si>
  <si>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</si>
  <si>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</si>
  <si>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</si>
  <si>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</si>
  <si>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</si>
  <si>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</si>
  <si>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</si>
  <si>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</si>
  <si>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</si>
  <si>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</si>
  <si>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</si>
  <si>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</si>
  <si>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</si>
  <si>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</si>
  <si>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</si>
  <si>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</si>
  <si>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</si>
  <si>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</si>
  <si>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</si>
  <si>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</si>
  <si>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</si>
  <si>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</si>
  <si>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</si>
  <si>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</si>
  <si>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</si>
  <si>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</si>
  <si>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</si>
  <si>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</si>
  <si>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</si>
  <si>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</si>
  <si>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</si>
  <si>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</si>
  <si>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</si>
  <si>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</si>
  <si>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</si>
  <si>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</si>
  <si>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</si>
  <si>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</si>
  <si>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</si>
  <si>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</si>
  <si>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</si>
  <si>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</si>
  <si>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</si>
  <si>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</si>
  <si>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</si>
  <si>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</si>
  <si>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</si>
  <si>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</si>
  <si>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</si>
  <si>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</si>
  <si>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</si>
  <si>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</si>
  <si>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</si>
  <si>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</si>
  <si>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</si>
  <si>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</si>
  <si>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</si>
  <si>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</si>
  <si>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</si>
  <si>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</si>
  <si>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</si>
  <si>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</si>
  <si>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</si>
  <si>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</si>
  <si>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</si>
  <si>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</si>
  <si>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</si>
  <si>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</si>
  <si>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</si>
  <si>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</si>
  <si>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</si>
  <si>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</si>
  <si>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</si>
  <si>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</si>
  <si>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</si>
  <si>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</si>
  <si>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</si>
  <si>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</si>
  <si>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</si>
  <si>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</si>
  <si>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</si>
  <si>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</si>
  <si>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</si>
  <si>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</si>
  <si>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</si>
  <si>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</si>
  <si>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</si>
  <si>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</si>
  <si>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</si>
  <si>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</si>
  <si>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</si>
  <si>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</si>
  <si>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</si>
  <si>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</si>
  <si>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</si>
  <si>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</si>
  <si>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</si>
  <si>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</si>
  <si>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</si>
  <si>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</si>
  <si>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</si>
  <si>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</si>
  <si>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</si>
  <si>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</si>
  <si>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</si>
  <si>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</si>
  <si>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</si>
  <si>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</si>
  <si>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</si>
  <si>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</si>
  <si>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</si>
  <si>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</si>
  <si>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</si>
  <si>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</si>
  <si>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</si>
  <si>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</si>
  <si>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</si>
  <si>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</si>
  <si>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</si>
  <si>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</si>
  <si>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</si>
  <si>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</si>
  <si>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</si>
  <si>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</si>
  <si>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</si>
  <si>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</si>
  <si>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</si>
  <si>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</si>
  <si>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</si>
  <si>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</si>
  <si>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</si>
  <si>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</si>
  <si>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</si>
  <si>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</si>
  <si>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</si>
  <si>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</si>
  <si>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</si>
  <si>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</si>
  <si>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</si>
  <si>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</si>
  <si>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</si>
  <si>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</si>
  <si>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</si>
  <si>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</si>
  <si>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</si>
  <si>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</si>
  <si>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</si>
  <si>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</si>
  <si>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</si>
  <si>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</si>
  <si>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</si>
  <si>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</si>
  <si>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</si>
  <si>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</si>
  <si>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</si>
  <si>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</si>
  <si>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</si>
  <si>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</si>
  <si>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</si>
  <si>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</si>
  <si>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</si>
  <si>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</si>
  <si>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</si>
  <si>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</si>
  <si>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</si>
  <si>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</si>
  <si>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</si>
  <si>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</si>
  <si>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</si>
  <si>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</si>
  <si>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</si>
  <si>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</si>
  <si>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</si>
  <si>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</si>
  <si>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</si>
  <si>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</si>
  <si>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</si>
  <si>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</si>
  <si>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</si>
  <si>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</si>
  <si>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</si>
  <si>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</si>
  <si>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</si>
  <si>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</si>
  <si>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</si>
  <si>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</si>
  <si>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</si>
  <si>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</si>
  <si>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</si>
  <si>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</si>
  <si>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</si>
  <si>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</si>
  <si>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</si>
  <si>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</si>
  <si>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</si>
  <si>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</si>
  <si>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</si>
  <si>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</si>
  <si>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</si>
  <si>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</si>
  <si>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</si>
  <si>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</si>
  <si>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</si>
  <si>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</si>
  <si>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</si>
  <si>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</si>
  <si>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</si>
  <si>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</si>
  <si>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</si>
  <si>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</si>
  <si>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</si>
  <si>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</si>
  <si>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</si>
  <si>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</si>
  <si>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</si>
  <si>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</si>
  <si>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</si>
  <si>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</si>
  <si>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</si>
  <si>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</si>
  <si>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</si>
  <si>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</si>
  <si>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</si>
  <si>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</si>
  <si>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</si>
  <si>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</si>
  <si>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</si>
  <si>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</si>
  <si>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</si>
  <si>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</si>
  <si>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</si>
  <si>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</si>
  <si>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</si>
  <si>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</si>
  <si>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</si>
  <si>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</si>
  <si>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</si>
  <si>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</si>
  <si>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</si>
  <si>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</si>
  <si>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</si>
  <si>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</si>
  <si>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</si>
  <si>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</si>
  <si>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</si>
  <si>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</si>
  <si>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</si>
  <si>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</si>
  <si>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</si>
  <si>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</si>
  <si>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</si>
  <si>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</si>
  <si>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</si>
  <si>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</si>
  <si>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</si>
  <si>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</si>
  <si>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</si>
  <si>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</si>
  <si>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</si>
  <si>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</si>
  <si>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</si>
  <si>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</si>
  <si>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</si>
  <si>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</si>
  <si>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</si>
  <si>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</si>
  <si>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</si>
  <si>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</si>
  <si>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</si>
  <si>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</si>
  <si>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</si>
  <si>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</si>
  <si>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</si>
  <si>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</si>
  <si>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</si>
  <si>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</si>
  <si>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</si>
  <si>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</si>
  <si>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</si>
  <si>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</si>
  <si>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</si>
  <si>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</si>
  <si>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</si>
  <si>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</si>
  <si>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</si>
  <si>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</si>
  <si>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</si>
  <si>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</si>
  <si>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</si>
  <si>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</si>
  <si>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</si>
  <si>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</si>
  <si>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</si>
  <si>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</si>
  <si>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</si>
  <si>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</si>
  <si>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</si>
  <si>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</si>
  <si>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</si>
  <si>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</si>
  <si>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</si>
  <si>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</si>
  <si>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</si>
  <si>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</si>
  <si>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</si>
  <si>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</si>
  <si>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</si>
  <si>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</si>
  <si>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</si>
  <si>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</si>
  <si>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</si>
  <si>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</si>
  <si>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</si>
  <si>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</si>
  <si>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</si>
  <si>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</si>
  <si>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</si>
  <si>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</si>
  <si>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</si>
  <si>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</si>
  <si>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</si>
  <si>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</si>
  <si>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</si>
  <si>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</si>
  <si>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</si>
  <si>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</si>
  <si>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</si>
  <si>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</si>
  <si>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</si>
  <si>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</si>
  <si>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</si>
  <si>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</si>
  <si>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</si>
  <si>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</si>
  <si>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</si>
  <si>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</si>
  <si>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</si>
  <si>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</si>
  <si>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</si>
  <si>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</si>
  <si>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</si>
  <si>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</si>
  <si>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</si>
  <si>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</si>
  <si>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</si>
  <si>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</si>
  <si>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</si>
  <si>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</si>
  <si>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</si>
  <si>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</si>
  <si>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</si>
  <si>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</si>
  <si>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</si>
  <si>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</si>
  <si>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</si>
  <si>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</si>
  <si>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</si>
  <si>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</si>
  <si>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</si>
  <si>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</si>
  <si>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</si>
  <si>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</si>
  <si>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</si>
  <si>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</si>
  <si>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</si>
  <si>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</si>
  <si>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</si>
  <si>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</si>
  <si>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</si>
  <si>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</si>
  <si>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</si>
  <si>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</si>
  <si>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</si>
  <si>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</si>
  <si>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</si>
  <si>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</si>
  <si>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</si>
  <si>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</si>
  <si>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</si>
  <si>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</si>
  <si>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</si>
  <si>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</si>
  <si>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</si>
  <si>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</si>
  <si>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</si>
  <si>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</si>
  <si>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</si>
  <si>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</si>
  <si>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</si>
  <si>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</si>
  <si>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</si>
  <si>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</si>
  <si>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</si>
  <si>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</si>
  <si>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</si>
  <si>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</si>
  <si>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</si>
  <si>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</si>
  <si>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</si>
  <si>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</si>
  <si>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</si>
  <si>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</si>
  <si>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</si>
  <si>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</si>
  <si>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</si>
  <si>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</si>
  <si>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</si>
  <si>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</si>
  <si>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</si>
  <si>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</si>
  <si>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</si>
  <si>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</si>
  <si>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</si>
  <si>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</si>
  <si>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</si>
  <si>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</si>
  <si>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</si>
  <si>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</si>
  <si>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</si>
  <si>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</si>
  <si>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</si>
  <si>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</si>
  <si>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</si>
  <si>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</si>
  <si>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</si>
  <si>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</si>
  <si>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</si>
  <si>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</si>
  <si>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</si>
  <si>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</si>
  <si>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</si>
  <si>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</si>
  <si>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</si>
  <si>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</si>
  <si>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</si>
  <si>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</si>
  <si>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</si>
  <si>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</si>
  <si>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</si>
  <si>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</si>
  <si>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</si>
  <si>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</si>
  <si>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</si>
  <si>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</si>
  <si>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</si>
  <si>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</si>
  <si>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</si>
  <si>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</si>
  <si>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</si>
  <si>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</si>
  <si>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</si>
  <si>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</si>
  <si>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</si>
  <si>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</si>
  <si>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</si>
  <si>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</si>
  <si>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</si>
  <si>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</si>
  <si>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</si>
  <si>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</si>
  <si>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</si>
  <si>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</si>
  <si>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</si>
  <si>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</si>
  <si>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</si>
  <si>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</si>
  <si>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</si>
  <si>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</si>
  <si>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</si>
  <si>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</si>
  <si>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</si>
  <si>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</si>
  <si>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</si>
  <si>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</si>
  <si>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</si>
  <si>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</si>
  <si>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</si>
  <si>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</si>
  <si>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</si>
  <si>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</si>
  <si>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</si>
  <si>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</si>
  <si>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</si>
  <si>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</si>
  <si>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</si>
  <si>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</si>
  <si>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</si>
  <si>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</si>
  <si>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</si>
  <si>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</si>
  <si>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</si>
  <si>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</si>
  <si>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</si>
  <si>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</si>
  <si>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</si>
  <si>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</si>
  <si>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</si>
  <si>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</si>
  <si>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</si>
  <si>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</si>
  <si>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</si>
  <si>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</si>
  <si>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</si>
  <si>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</si>
  <si>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</si>
  <si>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</si>
  <si>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</si>
  <si>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</si>
  <si>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</si>
  <si>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</si>
  <si>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</si>
  <si>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</si>
  <si>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</si>
  <si>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</si>
  <si>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</si>
  <si>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</si>
  <si>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</si>
  <si>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</si>
  <si>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</si>
  <si>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</si>
  <si>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</si>
  <si>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</si>
  <si>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</si>
  <si>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</si>
  <si>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</si>
  <si>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</si>
  <si>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</si>
  <si>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</si>
  <si>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</si>
  <si>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</si>
  <si>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</si>
  <si>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</si>
  <si>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</si>
  <si>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</si>
  <si>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</si>
  <si>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</si>
  <si>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</si>
  <si>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</si>
  <si>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</si>
  <si>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</si>
  <si>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</si>
  <si>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</si>
  <si>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</si>
  <si>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</si>
  <si>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</si>
  <si>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</si>
  <si>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</si>
  <si>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</si>
  <si>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</si>
  <si>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</si>
  <si>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</si>
  <si>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</si>
  <si>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</si>
  <si>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</si>
  <si>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</si>
  <si>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</si>
  <si>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</si>
  <si>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</si>
  <si>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</si>
  <si>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</si>
  <si>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</si>
  <si>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</si>
  <si>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</si>
  <si>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</si>
  <si>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</si>
  <si>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</si>
  <si>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</si>
  <si>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</si>
  <si>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</si>
  <si>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</si>
  <si>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</si>
  <si>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</si>
  <si>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</si>
  <si>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</si>
  <si>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</si>
  <si>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</si>
  <si>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</si>
  <si>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</si>
  <si>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</si>
  <si>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</si>
  <si>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</si>
  <si>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</si>
  <si>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</si>
  <si>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</si>
  <si>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</si>
  <si>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</si>
  <si>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</si>
  <si>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</si>
  <si>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</si>
  <si>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</si>
  <si>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</si>
  <si>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</si>
  <si>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</si>
  <si>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</si>
  <si>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</si>
  <si>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</si>
  <si>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</si>
  <si>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</si>
  <si>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</si>
  <si>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</si>
  <si>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</si>
  <si>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</si>
  <si>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</si>
  <si>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</si>
  <si>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</si>
  <si>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</si>
  <si>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</si>
  <si>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</si>
  <si>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</si>
  <si>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</si>
  <si>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</si>
  <si>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</si>
  <si>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</si>
  <si>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</si>
  <si>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</si>
  <si>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</si>
  <si>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</si>
  <si>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</si>
  <si>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</si>
  <si>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</si>
  <si>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</si>
  <si>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</si>
  <si>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</si>
  <si>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</si>
  <si>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</si>
  <si>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</si>
  <si>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</si>
  <si>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</si>
  <si>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</si>
  <si>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</si>
  <si>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</si>
  <si>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</si>
  <si>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</si>
  <si>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</si>
  <si>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</si>
  <si>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</si>
  <si>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</si>
  <si>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</si>
  <si>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</si>
  <si>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</si>
  <si>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</si>
  <si>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</si>
  <si>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</si>
  <si>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</si>
  <si>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</si>
  <si>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</si>
  <si>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</si>
  <si>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</si>
  <si>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</si>
  <si>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</si>
  <si>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</si>
  <si>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</si>
  <si>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</si>
  <si>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</si>
  <si>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</si>
  <si>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</si>
  <si>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</si>
  <si>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</si>
  <si>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</si>
  <si>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</si>
  <si>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</si>
  <si>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</si>
  <si>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</si>
  <si>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</si>
  <si>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</si>
  <si>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</si>
  <si>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</si>
  <si>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</si>
  <si>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</si>
  <si>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</si>
  <si>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</si>
  <si>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</si>
  <si>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</si>
  <si>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</si>
  <si>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</si>
  <si>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</si>
  <si>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</si>
  <si>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</si>
  <si>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</si>
  <si>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</si>
  <si>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</si>
  <si>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</si>
  <si>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</si>
  <si>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</si>
  <si>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</si>
  <si>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</si>
  <si>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</si>
  <si>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</si>
  <si>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</si>
  <si>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</si>
  <si>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</si>
  <si>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</si>
  <si>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</si>
  <si>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</si>
  <si>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</si>
  <si>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</si>
  <si>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</si>
  <si>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</si>
  <si>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</si>
  <si>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</si>
  <si>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</si>
  <si>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</si>
  <si>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</si>
  <si>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</si>
  <si>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</si>
  <si>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</si>
  <si>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</si>
  <si>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</si>
  <si>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</si>
  <si>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</si>
  <si>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</si>
  <si>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</si>
  <si>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</si>
  <si>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</si>
  <si>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</si>
  <si>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</si>
  <si>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</si>
  <si>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</si>
  <si>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</si>
  <si>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</si>
  <si>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</si>
  <si>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</si>
  <si>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</si>
  <si>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</si>
  <si>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</si>
  <si>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</si>
  <si>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</si>
  <si>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</si>
  <si>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</si>
  <si>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</si>
  <si>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</si>
  <si>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</si>
  <si>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</si>
  <si>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</si>
  <si>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</si>
  <si>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</si>
  <si>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</si>
  <si>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</si>
  <si>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</si>
  <si>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</si>
  <si>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</si>
  <si>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</si>
  <si>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</si>
  <si>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</si>
  <si>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</si>
  <si>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</si>
  <si>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</si>
  <si>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</si>
  <si>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</si>
  <si>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</si>
  <si>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</si>
  <si>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</si>
  <si>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</si>
  <si>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</si>
  <si>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</si>
  <si>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</si>
  <si>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</si>
  <si>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</si>
  <si>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</si>
  <si>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</si>
  <si>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</si>
  <si>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</si>
  <si>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</si>
  <si>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</si>
  <si>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</si>
  <si>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</si>
  <si>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</si>
  <si>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</si>
  <si>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</si>
  <si>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</si>
  <si>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</si>
  <si>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</si>
  <si>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</si>
  <si>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</si>
  <si>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</si>
  <si>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</si>
  <si>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</si>
  <si>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</si>
  <si>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</si>
  <si>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</si>
  <si>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</si>
  <si>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</si>
  <si>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</si>
  <si>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</si>
  <si>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</si>
  <si>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</si>
  <si>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</si>
  <si>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</si>
  <si>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</si>
  <si>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</si>
  <si>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</si>
  <si>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</si>
  <si>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</si>
  <si>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</si>
  <si>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</si>
  <si>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</si>
  <si>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</si>
  <si>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</si>
  <si>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</si>
  <si>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</si>
  <si>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</si>
  <si>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</si>
  <si>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</si>
  <si>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</si>
  <si>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</si>
  <si>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</si>
  <si>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</si>
  <si>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</si>
  <si>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</si>
  <si>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</si>
  <si>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</si>
  <si>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</si>
  <si>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</si>
  <si>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</si>
  <si>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</si>
  <si>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</si>
  <si>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</si>
  <si>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</si>
  <si>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</si>
  <si>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</si>
  <si>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</si>
  <si>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</si>
  <si>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</si>
  <si>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</si>
  <si>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</si>
  <si>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</si>
  <si>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</si>
  <si>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</si>
  <si>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</si>
  <si>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</si>
  <si>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</si>
  <si>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</si>
  <si>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</si>
  <si>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</si>
  <si>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</si>
  <si>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</si>
  <si>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</si>
  <si>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</si>
  <si>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</si>
  <si>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</si>
  <si>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</si>
  <si>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</si>
  <si>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</si>
  <si>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</si>
  <si>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</si>
  <si>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</si>
  <si>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</si>
  <si>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</si>
  <si>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</si>
  <si>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</si>
  <si>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</si>
  <si>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</si>
  <si>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</si>
  <si>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</si>
  <si>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</si>
  <si>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</si>
  <si>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</si>
  <si>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</si>
  <si>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</si>
  <si>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</si>
  <si>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</si>
  <si>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</si>
  <si>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</si>
  <si>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</si>
  <si>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</si>
  <si>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</si>
  <si>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</si>
  <si>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</si>
  <si>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</si>
  <si>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</si>
  <si>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</si>
  <si>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</si>
  <si>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</si>
  <si>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</si>
  <si>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</si>
  <si>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</si>
  <si>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</si>
  <si>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</si>
  <si>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</si>
  <si>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</si>
  <si>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</si>
  <si>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</si>
  <si>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</si>
  <si>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</si>
  <si>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</si>
  <si>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</si>
  <si>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</si>
  <si>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</si>
  <si>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</si>
  <si>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</si>
  <si>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</si>
  <si>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</si>
  <si>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</si>
  <si>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</si>
  <si>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</si>
  <si>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</si>
  <si>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</si>
  <si>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</si>
  <si>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</si>
  <si>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</si>
  <si>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</si>
  <si>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</si>
  <si>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</si>
  <si>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</si>
  <si>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</si>
  <si>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</si>
  <si>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</si>
  <si>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</si>
  <si>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</si>
  <si>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</si>
  <si>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</si>
  <si>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</si>
  <si>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</si>
  <si>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</si>
  <si>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</si>
  <si>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</si>
  <si>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</si>
  <si>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</si>
  <si>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</si>
  <si>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</si>
  <si>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</si>
  <si>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</si>
  <si>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</si>
  <si>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</si>
  <si>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</si>
  <si>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</si>
  <si>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</si>
  <si>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</si>
  <si>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</si>
  <si>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</si>
  <si>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</si>
  <si>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</si>
  <si>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</si>
  <si>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</si>
  <si>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</si>
  <si>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</si>
  <si>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</si>
  <si>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</si>
  <si>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</si>
  <si>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</si>
  <si>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</si>
  <si>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</si>
  <si>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</si>
  <si>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</si>
  <si>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</si>
  <si>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</si>
  <si>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</si>
  <si>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</si>
  <si>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</si>
  <si>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</si>
  <si>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</si>
  <si>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</si>
  <si>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</si>
  <si>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</si>
  <si>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</si>
  <si>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</si>
  <si>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</si>
  <si>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</si>
  <si>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</si>
  <si>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</si>
  <si>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</si>
  <si>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</si>
  <si>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</si>
  <si>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</si>
  <si>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</si>
  <si>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</si>
  <si>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</si>
  <si>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</si>
  <si>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</si>
  <si>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</si>
  <si>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</si>
  <si>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</si>
  <si>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</si>
  <si>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</si>
  <si>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</si>
  <si>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</si>
  <si>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</si>
  <si>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</si>
  <si>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</si>
  <si>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</si>
  <si>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</si>
  <si>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</si>
  <si>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</si>
  <si>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</si>
  <si>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</si>
  <si>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</si>
  <si>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</si>
  <si>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</si>
  <si>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</si>
  <si>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</si>
  <si>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</si>
  <si>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</si>
  <si>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</si>
  <si>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</si>
  <si>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</si>
  <si>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</si>
  <si>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</si>
  <si>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</si>
  <si>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</si>
  <si>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</si>
  <si>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</si>
  <si>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</si>
  <si>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</si>
  <si>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</si>
  <si>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</si>
  <si>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</si>
  <si>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</si>
  <si>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</si>
  <si>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</si>
  <si>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</si>
  <si>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</si>
  <si>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</si>
  <si>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</si>
  <si>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</si>
  <si>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</si>
  <si>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</si>
  <si>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</si>
  <si>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</si>
  <si>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</si>
  <si>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</si>
  <si>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</si>
  <si>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</si>
  <si>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</si>
  <si>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</si>
  <si>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</si>
  <si>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</si>
  <si>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</si>
  <si>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</si>
  <si>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</si>
  <si>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</si>
  <si>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</si>
  <si>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</si>
  <si>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</si>
  <si>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</si>
  <si>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</si>
  <si>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</si>
  <si>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</si>
  <si>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</si>
  <si>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</si>
  <si>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</si>
  <si>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</si>
  <si>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</si>
  <si>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</si>
  <si>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</si>
  <si>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</si>
  <si>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</si>
  <si>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</si>
  <si>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</si>
  <si>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</si>
  <si>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</si>
  <si>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</si>
  <si>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</si>
  <si>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</si>
  <si>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</si>
  <si>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</si>
  <si>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</si>
  <si>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</si>
  <si>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</si>
  <si>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</si>
  <si>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</si>
  <si>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</si>
  <si>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</si>
  <si>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</si>
  <si>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</si>
  <si>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</si>
  <si>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</si>
  <si>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</si>
  <si>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</si>
  <si>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</si>
  <si>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</si>
  <si>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</si>
  <si>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</si>
  <si>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</si>
  <si>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</si>
  <si>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</si>
  <si>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</si>
  <si>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</si>
  <si>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</si>
  <si>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</si>
  <si>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</si>
  <si>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</si>
  <si>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</si>
  <si>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</si>
  <si>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</si>
  <si>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</si>
  <si>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</si>
  <si>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</si>
  <si>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</si>
  <si>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</si>
  <si>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</si>
  <si>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</si>
  <si>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</si>
  <si>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</si>
  <si>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</si>
  <si>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</si>
  <si>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</si>
  <si>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</si>
  <si>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</si>
  <si>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</si>
  <si>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</si>
  <si>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</si>
  <si>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</si>
  <si>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</si>
  <si>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</si>
  <si>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</si>
  <si>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</si>
  <si>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</si>
  <si>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</si>
  <si>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</si>
  <si>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</si>
  <si>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</si>
  <si>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</si>
  <si>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</si>
  <si>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</si>
  <si>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</si>
  <si>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</si>
  <si>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</si>
  <si>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</si>
  <si>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</si>
  <si>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</si>
  <si>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</si>
  <si>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</si>
  <si>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</si>
  <si>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</si>
  <si>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</si>
  <si>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</si>
  <si>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</si>
  <si>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</si>
  <si>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</si>
  <si>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</si>
  <si>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</si>
  <si>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</si>
  <si>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</si>
  <si>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</si>
  <si>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</si>
  <si>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</si>
  <si>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</si>
  <si>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</si>
  <si>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</si>
  <si>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</si>
  <si>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</si>
  <si>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</si>
  <si>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</si>
  <si>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</si>
  <si>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</si>
  <si>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</si>
  <si>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</si>
  <si>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</si>
  <si>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</si>
  <si>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</si>
  <si>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</si>
  <si>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</si>
  <si>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</si>
  <si>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</si>
  <si>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</si>
  <si>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</si>
  <si>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</si>
  <si>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</si>
  <si>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</si>
  <si>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</si>
  <si>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</si>
  <si>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</si>
  <si>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</si>
  <si>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</si>
  <si>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</si>
  <si>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</si>
  <si>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</si>
  <si>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</si>
  <si>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</si>
  <si>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</si>
  <si>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</si>
  <si>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</si>
  <si>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</si>
  <si>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</si>
  <si>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</si>
  <si>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</si>
  <si>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</si>
  <si>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</si>
  <si>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</si>
  <si>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</si>
  <si>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</si>
  <si>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</si>
  <si>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</si>
  <si>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</si>
  <si>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</si>
  <si>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</si>
  <si>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</si>
  <si>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</si>
  <si>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</si>
  <si>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</si>
  <si>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</si>
  <si>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</si>
  <si>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</si>
  <si>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</si>
  <si>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</si>
  <si>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</si>
  <si>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</si>
  <si>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</si>
  <si>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</si>
  <si>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</si>
  <si>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</si>
  <si>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</si>
  <si>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</si>
  <si>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</si>
  <si>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</si>
  <si>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</si>
  <si>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</si>
  <si>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</si>
  <si>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</si>
  <si>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</si>
  <si>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</si>
  <si>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</si>
  <si>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</si>
  <si>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</si>
  <si>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</si>
  <si>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</si>
  <si>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</si>
  <si>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</si>
  <si>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</si>
  <si>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</si>
  <si>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</si>
  <si>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</si>
  <si>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</si>
  <si>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</si>
  <si>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</si>
  <si>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</si>
  <si>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</si>
  <si>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</si>
  <si>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</si>
  <si>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</si>
  <si>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</si>
  <si>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</si>
  <si>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</si>
  <si>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</si>
  <si>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</si>
  <si>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</si>
  <si>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</si>
  <si>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</si>
  <si>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</si>
  <si>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</si>
  <si>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</si>
  <si>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</si>
  <si>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</si>
  <si>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</si>
  <si>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</si>
  <si>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</si>
  <si>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</si>
  <si>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</si>
  <si>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</si>
  <si>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</si>
  <si>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</si>
  <si>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</si>
  <si>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</si>
  <si>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</si>
  <si>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</si>
  <si>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</si>
  <si>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</si>
  <si>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</si>
  <si>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</si>
  <si>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</si>
  <si>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</si>
  <si>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</si>
  <si>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</si>
  <si>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</si>
  <si>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</si>
  <si>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</si>
  <si>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</si>
  <si>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</si>
  <si>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</si>
  <si>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</si>
  <si>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</si>
  <si>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</si>
  <si>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</si>
  <si>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</si>
  <si>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</si>
  <si>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</si>
  <si>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</si>
  <si>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</si>
  <si>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</si>
  <si>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</si>
  <si>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</si>
  <si>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</si>
  <si>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</si>
  <si>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</si>
  <si>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</si>
  <si>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</si>
  <si>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</si>
  <si>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</si>
  <si>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</si>
  <si>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</si>
  <si>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</si>
  <si>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</si>
  <si>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</si>
  <si>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</si>
  <si>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</si>
  <si>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</si>
  <si>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</si>
  <si>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</si>
  <si>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</si>
  <si>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</si>
  <si>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</si>
  <si>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</si>
  <si>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</si>
  <si>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</si>
  <si>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</si>
  <si>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</si>
  <si>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</si>
  <si>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</si>
  <si>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</si>
  <si>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</si>
  <si>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</si>
  <si>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</si>
  <si>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</si>
  <si>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</si>
  <si>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</si>
  <si>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</si>
  <si>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</si>
  <si>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</si>
  <si>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</si>
  <si>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</si>
  <si>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</si>
  <si>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</si>
  <si>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</si>
  <si>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</si>
  <si>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</si>
  <si>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</si>
  <si>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</si>
  <si>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</si>
  <si>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</si>
  <si>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</si>
  <si>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</si>
  <si>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</si>
  <si>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</si>
  <si>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</si>
  <si>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</si>
  <si>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</si>
  <si>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</si>
  <si>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</si>
  <si>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</si>
  <si>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</si>
  <si>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</si>
  <si>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</si>
  <si>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</si>
  <si>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</si>
  <si>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</si>
  <si>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</si>
  <si>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</si>
  <si>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</si>
  <si>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</si>
  <si>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</si>
  <si>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</si>
  <si>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</si>
  <si>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</si>
  <si>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</si>
  <si>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</si>
  <si>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</si>
  <si>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</si>
  <si>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</si>
  <si>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</si>
  <si>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</si>
  <si>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</si>
  <si>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</si>
  <si>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</si>
  <si>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</si>
  <si>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</si>
  <si>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</si>
  <si>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</si>
  <si>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</si>
  <si>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</si>
  <si>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</si>
  <si>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</si>
  <si>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</si>
  <si>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</si>
  <si>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</si>
  <si>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</si>
  <si>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</si>
  <si>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</si>
  <si>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</si>
  <si>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</si>
  <si>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</si>
  <si>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</si>
  <si>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</si>
  <si>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</si>
  <si>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</si>
  <si>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</si>
  <si>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</si>
  <si>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</si>
  <si>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</si>
  <si>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</si>
  <si>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</si>
  <si>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</si>
  <si>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</si>
  <si>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</si>
  <si>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</si>
  <si>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</si>
  <si>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</si>
  <si>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</si>
  <si>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</si>
  <si>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</si>
  <si>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</si>
  <si>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</si>
  <si>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</si>
  <si>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</si>
  <si>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</si>
  <si>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</si>
  <si>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</si>
  <si>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</si>
  <si>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</si>
  <si>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</si>
  <si>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</si>
  <si>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</si>
  <si>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</si>
  <si>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</si>
  <si>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</si>
  <si>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</si>
  <si>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</si>
  <si>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</si>
  <si>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</si>
  <si>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</si>
  <si>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</si>
  <si>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</si>
  <si>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</si>
  <si>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</si>
  <si>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</si>
  <si>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</si>
  <si>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</si>
  <si>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</si>
  <si>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</si>
  <si>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</si>
  <si>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</si>
  <si>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</si>
  <si>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</si>
  <si>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</si>
  <si>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</si>
  <si>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</si>
  <si>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</si>
  <si>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</si>
  <si>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</si>
  <si>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</si>
  <si>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</si>
  <si>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</si>
  <si>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</si>
  <si>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</si>
  <si>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</si>
  <si>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</si>
  <si>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</si>
  <si>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</si>
  <si>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</si>
  <si>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</si>
  <si>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</si>
  <si>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</si>
  <si>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</si>
  <si>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</si>
  <si>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</si>
  <si>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</si>
  <si>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</si>
  <si>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</si>
  <si>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</si>
  <si>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</si>
  <si>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</si>
  <si>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</si>
  <si>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</si>
  <si>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</si>
  <si>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</si>
  <si>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</si>
  <si>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</si>
  <si>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</si>
  <si>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</si>
  <si>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</si>
  <si>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</si>
  <si>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</si>
  <si>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</si>
  <si>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</si>
  <si>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</si>
  <si>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</si>
  <si>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</si>
  <si>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</si>
  <si>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</si>
  <si>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</si>
  <si>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</si>
  <si>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</si>
  <si>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</si>
  <si>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</si>
  <si>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</si>
  <si>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</si>
  <si>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</si>
  <si>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</si>
  <si>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</si>
  <si>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</si>
  <si>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</si>
  <si>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</si>
  <si>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</si>
  <si>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</si>
  <si>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</si>
  <si>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</si>
  <si>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</si>
  <si>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</si>
  <si>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</si>
  <si>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</si>
  <si>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</si>
  <si>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</si>
  <si>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</si>
  <si>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</si>
  <si>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</si>
  <si>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</si>
  <si>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</si>
  <si>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</si>
  <si>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</si>
  <si>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</si>
  <si>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</si>
  <si>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</si>
  <si>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</si>
  <si>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</si>
  <si>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</si>
  <si>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</si>
  <si>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</si>
  <si>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</si>
  <si>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</si>
  <si>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</si>
  <si>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</si>
  <si>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</si>
  <si>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</si>
  <si>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</si>
  <si>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</si>
  <si>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</si>
  <si>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</si>
  <si>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</si>
  <si>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</si>
  <si>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</si>
  <si>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</si>
  <si>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</si>
  <si>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</si>
  <si>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</si>
  <si>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</si>
  <si>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</si>
  <si>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</si>
  <si>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</si>
  <si>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</si>
  <si>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</si>
  <si>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</si>
  <si>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</si>
  <si>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</si>
  <si>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</si>
  <si>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</si>
  <si>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</si>
  <si>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</si>
  <si>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</si>
  <si>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</si>
  <si>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</si>
  <si>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</si>
  <si>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</si>
  <si>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</si>
  <si>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</si>
  <si>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</si>
  <si>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</si>
  <si>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</si>
  <si>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</si>
  <si>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</si>
  <si>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</si>
  <si>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</si>
  <si>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</si>
  <si>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</si>
  <si>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</si>
  <si>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</si>
  <si>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</si>
  <si>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</si>
  <si>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</si>
  <si>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</si>
  <si>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</si>
  <si>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</si>
  <si>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</si>
  <si>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</si>
  <si>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</si>
  <si>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</si>
  <si>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</si>
  <si>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</si>
  <si>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</si>
  <si>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</si>
  <si>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</si>
  <si>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</si>
  <si>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</si>
  <si>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</si>
  <si>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</si>
  <si>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</si>
  <si>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</si>
  <si>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</si>
  <si>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</si>
  <si>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</si>
  <si>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</si>
  <si>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</si>
  <si>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</si>
  <si>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</si>
  <si>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</si>
  <si>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</si>
  <si>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</si>
  <si>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</si>
  <si>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</si>
  <si>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</si>
  <si>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</si>
  <si>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</si>
  <si>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</si>
  <si>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</si>
  <si>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</si>
  <si>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</si>
  <si>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</si>
  <si>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</si>
  <si>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</si>
  <si>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</si>
  <si>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</si>
  <si>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</si>
  <si>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</si>
  <si>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</si>
  <si>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</si>
  <si>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</si>
  <si>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</si>
  <si>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</si>
  <si>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</si>
  <si>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</si>
  <si>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</si>
  <si>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</si>
  <si>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</si>
  <si>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</si>
  <si>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</si>
  <si>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</si>
  <si>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</si>
  <si>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</si>
  <si>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</si>
  <si>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</si>
  <si>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</si>
  <si>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</si>
  <si>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</si>
  <si>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</si>
  <si>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</si>
  <si>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</si>
  <si>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</si>
  <si>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</si>
  <si>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</si>
  <si>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</si>
  <si>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</si>
  <si>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</si>
  <si>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</si>
  <si>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</si>
  <si>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</si>
  <si>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</si>
  <si>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</si>
  <si>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</si>
  <si>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</si>
  <si>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</si>
  <si>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</si>
  <si>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</si>
  <si>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</si>
  <si>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</si>
  <si>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</si>
  <si>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</si>
  <si>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</si>
  <si>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</si>
  <si>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</si>
  <si>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</si>
  <si>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</si>
  <si>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</si>
  <si>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</si>
  <si>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</si>
  <si>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</si>
  <si>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</si>
  <si>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</si>
  <si>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</si>
  <si>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</si>
  <si>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</si>
  <si>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</si>
  <si>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</si>
  <si>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</si>
  <si>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</si>
  <si>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</si>
  <si>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</si>
  <si>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</si>
  <si>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</si>
  <si>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</si>
  <si>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</si>
  <si>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</si>
  <si>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</si>
  <si>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</si>
  <si>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</si>
  <si>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</si>
  <si>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</si>
  <si>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</si>
  <si>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</si>
  <si>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</si>
  <si>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</si>
  <si>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</si>
  <si>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</si>
  <si>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</si>
  <si>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</si>
  <si>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</si>
  <si>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</si>
  <si>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</si>
  <si>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</si>
  <si>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</si>
  <si>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</si>
  <si>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</si>
  <si>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</si>
  <si>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</si>
  <si>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</si>
  <si>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</si>
  <si>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</si>
  <si>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</si>
  <si>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</si>
  <si>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</si>
  <si>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</si>
  <si>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</si>
  <si>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</si>
  <si>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</si>
  <si>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</si>
  <si>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</si>
  <si>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</si>
  <si>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</si>
  <si>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</si>
  <si>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</si>
  <si>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</si>
  <si>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</si>
  <si>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</si>
  <si>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</si>
  <si>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</si>
  <si>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</si>
  <si>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</si>
  <si>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</si>
  <si>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</si>
  <si>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</si>
  <si>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</si>
  <si>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</si>
  <si>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</si>
  <si>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</si>
  <si>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</si>
  <si>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</si>
  <si>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</si>
  <si>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</si>
  <si>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</si>
  <si>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</si>
  <si>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</si>
  <si>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</si>
  <si>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</si>
  <si>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</si>
  <si>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</si>
  <si>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</si>
  <si>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</si>
  <si>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</si>
  <si>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</si>
  <si>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</si>
  <si>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</si>
  <si>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</si>
  <si>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</si>
  <si>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</si>
  <si>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</si>
  <si>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</si>
  <si>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</si>
  <si>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</si>
  <si>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</si>
  <si>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</si>
  <si>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</si>
  <si>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</si>
  <si>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</si>
  <si>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</si>
  <si>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</si>
  <si>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</si>
  <si>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</si>
  <si>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</si>
  <si>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</si>
  <si>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</si>
  <si>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</si>
  <si>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</si>
  <si>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</si>
  <si>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</si>
  <si>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</si>
  <si>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</si>
  <si>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</si>
  <si>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</si>
  <si>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</si>
  <si>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</si>
  <si>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</si>
  <si>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</si>
  <si>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</si>
  <si>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</si>
  <si>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</si>
  <si>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</si>
  <si>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</si>
  <si>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</si>
  <si>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</si>
  <si>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</si>
  <si>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</si>
  <si>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</si>
  <si>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</si>
  <si>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</si>
  <si>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</si>
  <si>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</si>
  <si>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</si>
  <si>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</si>
  <si>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</si>
  <si>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</si>
  <si>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</si>
  <si>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</si>
  <si>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</si>
  <si>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</si>
  <si>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</si>
  <si>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</si>
  <si>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</si>
  <si>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</si>
  <si>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</si>
  <si>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</si>
  <si>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</si>
  <si>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</si>
  <si>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</si>
  <si>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</si>
  <si>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</si>
  <si>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</si>
  <si>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</si>
  <si>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</si>
  <si>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</si>
  <si>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</si>
  <si>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</si>
  <si>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</si>
  <si>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</si>
  <si>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</si>
  <si>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</si>
  <si>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</si>
  <si>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</si>
  <si>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</si>
  <si>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</si>
  <si>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</si>
  <si>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</si>
  <si>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</si>
  <si>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</si>
  <si>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</si>
  <si>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</si>
  <si>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</si>
  <si>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</si>
  <si>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</si>
  <si>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</si>
  <si>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</si>
  <si>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</si>
  <si>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</si>
  <si>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</si>
  <si>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</si>
  <si>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</si>
  <si>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</si>
  <si>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</si>
  <si>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</si>
  <si>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</si>
  <si>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</si>
  <si>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</si>
  <si>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</si>
  <si>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</si>
  <si>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</si>
  <si>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</si>
  <si>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</si>
  <si>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</si>
  <si>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</si>
  <si>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</si>
  <si>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</si>
  <si>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</si>
  <si>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</si>
  <si>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</si>
  <si>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</si>
  <si>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</si>
  <si>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</si>
  <si>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</si>
  <si>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</si>
  <si>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</si>
  <si>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</si>
  <si>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</si>
  <si>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</si>
  <si>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</si>
  <si>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</si>
  <si>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</si>
  <si>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</si>
  <si>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</si>
  <si>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</si>
  <si>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</si>
  <si>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</si>
  <si>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</si>
  <si>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</si>
  <si>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</si>
  <si>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</si>
  <si>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</si>
  <si>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</si>
  <si>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</si>
  <si>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</si>
  <si>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</si>
  <si>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</si>
  <si>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</si>
  <si>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</si>
  <si>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</si>
  <si>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</si>
  <si>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</si>
  <si>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</si>
  <si>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</si>
  <si>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</si>
  <si>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</si>
  <si>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</si>
  <si>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</si>
  <si>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</si>
  <si>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</si>
  <si>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</si>
  <si>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</si>
  <si>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</si>
  <si>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</si>
  <si>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</si>
  <si>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</si>
  <si>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</si>
  <si>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</si>
  <si>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</si>
  <si>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</si>
  <si>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</si>
  <si>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</si>
  <si>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</si>
  <si>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</si>
  <si>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</si>
  <si>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</si>
  <si>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</si>
  <si>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</si>
  <si>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</si>
  <si>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</si>
  <si>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</si>
  <si>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</si>
  <si>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</si>
  <si>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</si>
  <si>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</si>
  <si>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</si>
  <si>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</si>
  <si>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</si>
  <si>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</si>
  <si>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</si>
  <si>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</si>
  <si>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</si>
  <si>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</si>
  <si>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</si>
  <si>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</si>
  <si>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</si>
  <si>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</si>
  <si>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</si>
  <si>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</si>
  <si>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</si>
  <si>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</si>
  <si>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</si>
  <si>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</si>
  <si>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</si>
  <si>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</si>
  <si>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</si>
  <si>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</si>
  <si>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</si>
  <si>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</si>
  <si>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</si>
  <si>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</si>
  <si>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</si>
  <si>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</si>
  <si>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</si>
  <si>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</si>
  <si>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</si>
  <si>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</si>
  <si>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</si>
  <si>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</si>
  <si>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</si>
  <si>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</si>
  <si>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</si>
  <si>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</si>
  <si>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</si>
  <si>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</si>
  <si>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</si>
  <si>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</si>
  <si>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</si>
  <si>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</si>
  <si>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</si>
  <si>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</si>
  <si>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</si>
  <si>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</si>
  <si>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</si>
  <si>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</si>
  <si>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</si>
  <si>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</si>
  <si>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</si>
  <si>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</si>
  <si>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</si>
  <si>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</si>
  <si>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</si>
  <si>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</si>
  <si>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</si>
  <si>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</si>
  <si>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</si>
  <si>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</si>
  <si>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</si>
  <si>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</si>
  <si>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</si>
  <si>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</si>
  <si>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</si>
  <si>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</si>
  <si>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</si>
  <si>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</si>
  <si>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</si>
  <si>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</si>
  <si>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</si>
  <si>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</si>
  <si>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</si>
  <si>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</si>
  <si>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</si>
  <si>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</si>
  <si>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</si>
  <si>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</si>
  <si>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</si>
  <si>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</si>
  <si>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</si>
  <si>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</si>
  <si>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</si>
  <si>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</si>
  <si>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</si>
  <si>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</si>
  <si>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</si>
  <si>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</si>
  <si>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</si>
  <si>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</si>
  <si>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</si>
  <si>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</si>
  <si>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</si>
  <si>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</si>
  <si>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</si>
  <si>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</si>
  <si>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</si>
  <si>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</si>
  <si>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</si>
  <si>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</si>
  <si>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</si>
  <si>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</si>
  <si>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</si>
  <si>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</si>
  <si>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</si>
  <si>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</si>
  <si>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</si>
  <si>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</si>
  <si>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</si>
  <si>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</si>
  <si>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</si>
  <si>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</si>
  <si>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</si>
  <si>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</si>
  <si>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</si>
  <si>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</si>
  <si>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</si>
  <si>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</si>
  <si>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</si>
  <si>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</si>
  <si>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</si>
  <si>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</si>
  <si>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</si>
  <si>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</si>
  <si>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</si>
  <si>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</si>
  <si>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</si>
  <si>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</si>
  <si>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</si>
  <si>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</si>
  <si>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</si>
  <si>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</si>
  <si>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</si>
  <si>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</si>
  <si>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</si>
  <si>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</si>
  <si>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</si>
  <si>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</si>
  <si>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</si>
  <si>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</si>
  <si>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</si>
  <si>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</si>
  <si>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</si>
  <si>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</si>
  <si>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</si>
  <si>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</si>
  <si>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</si>
  <si>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</si>
  <si>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</si>
  <si>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</si>
  <si>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</si>
  <si>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</si>
  <si>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</si>
  <si>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</si>
  <si>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</si>
  <si>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</si>
  <si>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</si>
  <si>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</si>
  <si>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</si>
  <si>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</si>
  <si>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</si>
  <si>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</si>
  <si>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</si>
  <si>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</si>
  <si>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</si>
  <si>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</si>
  <si>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</si>
  <si>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</si>
  <si>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</si>
  <si>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</si>
  <si>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</si>
  <si>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</si>
  <si>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</si>
  <si>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</si>
  <si>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</si>
  <si>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</si>
  <si>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</si>
  <si>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</si>
  <si>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</si>
  <si>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</si>
  <si>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</si>
  <si>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</si>
  <si>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</si>
  <si>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</si>
  <si>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</si>
  <si>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</si>
  <si>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</si>
  <si>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</si>
  <si>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</si>
  <si>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</si>
  <si>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</si>
  <si>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</si>
  <si>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</si>
  <si>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</si>
  <si>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</si>
  <si>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</si>
  <si>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</si>
  <si>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</si>
  <si>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</si>
  <si>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</si>
  <si>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</si>
  <si>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</si>
  <si>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</si>
  <si>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</si>
  <si>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</si>
  <si>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</si>
  <si>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</si>
  <si>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</si>
  <si>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</si>
  <si>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</si>
  <si>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</si>
  <si>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</si>
  <si>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</si>
  <si>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</si>
  <si>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</si>
  <si>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</si>
  <si>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</si>
  <si>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</si>
  <si>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</si>
  <si>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</si>
  <si>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</si>
  <si>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</si>
  <si>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</si>
  <si>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</si>
  <si>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</si>
  <si>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</si>
  <si>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</si>
  <si>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</si>
  <si>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</si>
  <si>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</si>
  <si>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</si>
  <si>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</si>
  <si>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</si>
  <si>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</si>
  <si>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</si>
  <si>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</si>
  <si>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</si>
  <si>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</si>
  <si>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</si>
  <si>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</si>
  <si>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</si>
  <si>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</si>
  <si>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</si>
  <si>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</si>
  <si>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</si>
  <si>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</si>
  <si>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</si>
  <si>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</si>
  <si>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</si>
  <si>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</si>
  <si>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</si>
  <si>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</si>
  <si>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</si>
  <si>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</si>
  <si>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</si>
  <si>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</si>
  <si>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</si>
  <si>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</si>
  <si>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</si>
  <si>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</si>
  <si>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</si>
  <si>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</si>
  <si>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</si>
  <si>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</si>
  <si>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</si>
  <si>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</si>
  <si>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</si>
  <si>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</si>
  <si>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</si>
  <si>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</si>
  <si>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</si>
  <si>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</si>
  <si>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</si>
  <si>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</si>
  <si>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</si>
  <si>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</si>
  <si>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</si>
  <si>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</si>
  <si>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</si>
  <si>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</si>
  <si>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</si>
  <si>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</si>
  <si>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</si>
  <si>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</si>
  <si>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</si>
  <si>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</si>
  <si>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</si>
  <si>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</si>
  <si>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</si>
  <si>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</si>
  <si>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</si>
  <si>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</si>
  <si>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</si>
  <si>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</si>
  <si>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</si>
  <si>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</si>
  <si>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</si>
  <si>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</si>
  <si>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</si>
  <si>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</si>
  <si>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</si>
  <si>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</si>
  <si>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</si>
  <si>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</si>
  <si>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</si>
  <si>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</si>
  <si>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</si>
  <si>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</si>
  <si>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</si>
  <si>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</si>
  <si>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</si>
  <si>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</si>
  <si>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</si>
  <si>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</si>
  <si>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</si>
  <si>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</si>
  <si>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</si>
  <si>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</si>
  <si>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</si>
  <si>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</si>
  <si>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</si>
  <si>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</si>
  <si>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</si>
  <si>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</si>
  <si>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</si>
  <si>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</si>
  <si>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</si>
  <si>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</si>
  <si>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</si>
  <si>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</si>
  <si>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</si>
  <si>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</si>
  <si>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</si>
  <si>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</si>
  <si>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</si>
  <si>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</si>
  <si>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</si>
  <si>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</si>
  <si>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</si>
  <si>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</si>
  <si>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</si>
  <si>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</si>
  <si>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</si>
  <si>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</si>
  <si>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</si>
  <si>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</si>
  <si>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</si>
  <si>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</si>
  <si>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</si>
  <si>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</si>
  <si>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</si>
  <si>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</si>
  <si>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</si>
  <si>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</si>
  <si>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</si>
  <si>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</si>
  <si>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</si>
  <si>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</si>
  <si>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</si>
  <si>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</si>
  <si>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</si>
  <si>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</si>
  <si>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</si>
  <si>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</si>
  <si>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</si>
  <si>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</si>
  <si>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</si>
  <si>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</si>
  <si>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</si>
  <si>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</si>
  <si>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</si>
  <si>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</si>
  <si>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</si>
  <si>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</si>
  <si>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</si>
  <si>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</si>
  <si>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</si>
  <si>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</si>
  <si>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</si>
  <si>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</si>
  <si>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</si>
  <si>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</si>
  <si>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</si>
  <si>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</si>
  <si>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</si>
  <si>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</si>
  <si>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</si>
  <si>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</si>
  <si>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</si>
  <si>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</si>
  <si>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</si>
  <si>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</si>
  <si>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</si>
  <si>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</si>
  <si>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</si>
  <si>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</si>
  <si>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</si>
  <si>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</si>
  <si>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</si>
  <si>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</si>
  <si>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</si>
  <si>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</si>
  <si>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</si>
  <si>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</si>
  <si>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</si>
  <si>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</si>
  <si>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</si>
  <si>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</si>
  <si>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</si>
  <si>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</si>
  <si>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</si>
  <si>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</si>
  <si>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</si>
  <si>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</si>
  <si>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</si>
  <si>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</si>
  <si>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</si>
  <si>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</si>
  <si>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</si>
  <si>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</si>
  <si>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</si>
  <si>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</si>
  <si>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</si>
  <si>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</si>
  <si>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</si>
  <si>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</si>
  <si>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</si>
  <si>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</si>
  <si>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</si>
  <si>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</si>
  <si>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</si>
  <si>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</si>
  <si>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</si>
  <si>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</si>
  <si>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</si>
  <si>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</si>
  <si>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</si>
  <si>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</si>
  <si>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</si>
  <si>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</si>
  <si>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</si>
  <si>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</si>
  <si>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</si>
  <si>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</si>
  <si>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</si>
  <si>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</si>
  <si>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</si>
  <si>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</si>
  <si>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</si>
  <si>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</si>
  <si>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</si>
  <si>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</si>
  <si>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</si>
  <si>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</si>
  <si>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</si>
  <si>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</si>
  <si>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</si>
  <si>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</si>
  <si>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</si>
  <si>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</si>
  <si>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</si>
  <si>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</si>
  <si>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</si>
  <si>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</si>
  <si>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</si>
  <si>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</si>
  <si>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</si>
  <si>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</si>
  <si>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</si>
  <si>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</si>
  <si>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</si>
  <si>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</si>
  <si>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</si>
  <si>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</si>
  <si>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</si>
  <si>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</si>
  <si>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</si>
  <si>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</si>
  <si>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</si>
  <si>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</si>
  <si>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</si>
  <si>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</si>
  <si>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</si>
  <si>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</si>
  <si>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</si>
  <si>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</si>
  <si>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</si>
  <si>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</si>
  <si>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</si>
  <si>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</si>
  <si>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</si>
  <si>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</si>
  <si>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</si>
  <si>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</si>
  <si>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</si>
  <si>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</si>
  <si>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</si>
  <si>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</si>
  <si>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</si>
  <si>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</si>
  <si>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</si>
  <si>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</si>
  <si>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</si>
  <si>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</si>
  <si>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</si>
  <si>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</si>
  <si>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</si>
  <si>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</si>
  <si>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</si>
  <si>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</si>
  <si>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</si>
  <si>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</si>
  <si>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</si>
  <si>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</si>
  <si>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</si>
  <si>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</si>
  <si>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</si>
  <si>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</si>
  <si>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</si>
  <si>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</si>
  <si>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</si>
  <si>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</si>
  <si>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</si>
  <si>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</si>
  <si>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</si>
  <si>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</si>
  <si>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</si>
  <si>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</si>
  <si>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</si>
  <si>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</si>
  <si>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</si>
  <si>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</si>
  <si>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</si>
  <si>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</si>
  <si>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</si>
  <si>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</si>
  <si>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</si>
  <si>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</si>
  <si>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</si>
  <si>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</si>
  <si>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</si>
  <si>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</si>
  <si>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</si>
  <si>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</si>
  <si>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</si>
  <si>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</si>
  <si>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</si>
  <si>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</si>
  <si>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</si>
  <si>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</si>
  <si>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</si>
  <si>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</si>
  <si>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</si>
  <si>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</si>
  <si>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</si>
  <si>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</si>
  <si>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</si>
  <si>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</si>
  <si>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</si>
  <si>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</si>
  <si>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</si>
  <si>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</si>
  <si>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</si>
  <si>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</si>
  <si>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</si>
  <si>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</si>
  <si>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</si>
  <si>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</si>
  <si>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</si>
  <si>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</si>
  <si>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</si>
  <si>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</si>
  <si>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</si>
  <si>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</si>
  <si>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</si>
  <si>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</si>
  <si>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</si>
  <si>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</si>
  <si>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</si>
  <si>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</si>
  <si>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</si>
  <si>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</si>
  <si>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</si>
  <si>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</si>
  <si>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</si>
  <si>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</si>
  <si>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</si>
  <si>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</si>
  <si>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</si>
  <si>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</si>
  <si>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</si>
  <si>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</si>
  <si>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</si>
  <si>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</si>
  <si>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</si>
  <si>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</si>
  <si>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</si>
  <si>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</si>
  <si>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</si>
  <si>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</si>
  <si>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</si>
  <si>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</si>
  <si>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</si>
  <si>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</si>
  <si>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</si>
  <si>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</si>
  <si>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</si>
  <si>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</si>
  <si>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</si>
  <si>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</si>
  <si>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</si>
  <si>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</si>
  <si>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</si>
  <si>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</si>
  <si>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</si>
  <si>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</si>
  <si>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</si>
  <si>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</si>
  <si>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</si>
  <si>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</si>
  <si>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</si>
  <si>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</si>
  <si>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</si>
  <si>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</si>
  <si>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</si>
  <si>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</si>
  <si>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</si>
  <si>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</si>
  <si>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</si>
  <si>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</si>
  <si>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</si>
  <si>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</si>
  <si>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</si>
  <si>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</si>
  <si>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</si>
  <si>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</si>
  <si>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</si>
  <si>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</si>
  <si>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</si>
  <si>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</si>
  <si>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</si>
  <si>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</si>
  <si>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</si>
  <si>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</si>
  <si>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</si>
  <si>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</si>
  <si>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</si>
  <si>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</si>
  <si>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</si>
  <si>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</si>
  <si>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</si>
  <si>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</si>
  <si>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</si>
  <si>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</si>
  <si>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</si>
  <si>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</si>
  <si>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</si>
  <si>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</si>
  <si>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</si>
  <si>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</si>
  <si>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</si>
  <si>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</si>
  <si>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</si>
  <si>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</si>
  <si>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</si>
  <si>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</si>
  <si>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</si>
  <si>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</si>
  <si>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</si>
  <si>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</si>
  <si>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</si>
  <si>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</si>
  <si>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</si>
  <si>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</si>
  <si>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</si>
  <si>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</si>
  <si>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</si>
  <si>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</si>
  <si>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</si>
  <si>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</si>
  <si>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</si>
  <si>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</si>
  <si>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</si>
  <si>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</si>
  <si>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</si>
  <si>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</si>
  <si>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</si>
  <si>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</si>
  <si>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</si>
  <si>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</si>
  <si>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</si>
  <si>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</si>
  <si>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</si>
  <si>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</si>
  <si>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</si>
  <si>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</si>
  <si>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</si>
  <si>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</si>
  <si>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</si>
  <si>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</si>
  <si>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</si>
  <si>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</si>
  <si>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</si>
  <si>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</si>
  <si>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</si>
  <si>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</si>
  <si>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</si>
  <si>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</si>
  <si>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</si>
  <si>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</si>
  <si>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</si>
  <si>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</si>
  <si>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</si>
  <si>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</si>
  <si>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</si>
  <si>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</si>
  <si>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</si>
  <si>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</si>
  <si>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</si>
  <si>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</si>
  <si>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</si>
  <si>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</si>
  <si>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</si>
  <si>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</si>
  <si>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</si>
  <si>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</si>
  <si>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</si>
  <si>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</si>
  <si>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</si>
  <si>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</si>
  <si>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</si>
  <si>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</si>
  <si>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</si>
  <si>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</si>
  <si>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</si>
  <si>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</si>
  <si>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</si>
  <si>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</si>
  <si>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</si>
  <si>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</si>
  <si>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</si>
  <si>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</si>
  <si>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</si>
  <si>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</si>
  <si>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</si>
  <si>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</si>
  <si>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</si>
  <si>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</si>
  <si>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</si>
  <si>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</si>
  <si>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</si>
  <si>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</si>
  <si>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</si>
  <si>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</si>
  <si>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</si>
  <si>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</si>
  <si>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</si>
  <si>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</si>
  <si>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</si>
  <si>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</si>
  <si>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</si>
  <si>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</si>
  <si>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</si>
  <si>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</si>
  <si>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</si>
  <si>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</si>
  <si>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</si>
  <si>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</si>
  <si>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</si>
  <si>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</si>
  <si>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</si>
  <si>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</si>
  <si>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</si>
  <si>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</si>
  <si>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</si>
  <si>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</si>
  <si>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</si>
  <si>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</si>
  <si>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</si>
  <si>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</si>
  <si>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</si>
  <si>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</si>
  <si>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</si>
  <si>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</si>
  <si>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</si>
  <si>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</si>
  <si>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</si>
  <si>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</si>
  <si>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</si>
  <si>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</si>
  <si>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</si>
  <si>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</si>
  <si>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</si>
  <si>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</si>
  <si>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</si>
  <si>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</si>
  <si>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</si>
  <si>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</si>
  <si>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</si>
  <si>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</si>
  <si>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</si>
  <si>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</si>
  <si>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</si>
  <si>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</si>
  <si>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</si>
  <si>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</si>
  <si>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</si>
  <si>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</si>
  <si>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</si>
  <si>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</si>
  <si>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</si>
  <si>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</si>
  <si>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</si>
  <si>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</si>
  <si>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</si>
  <si>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</si>
  <si>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</si>
  <si>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</si>
  <si>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</si>
  <si>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</si>
  <si>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</si>
  <si>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</si>
  <si>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</si>
  <si>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</si>
  <si>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</si>
  <si>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</si>
  <si>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</si>
  <si>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</si>
  <si>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</si>
  <si>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</si>
  <si>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</si>
  <si>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</si>
  <si>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</si>
  <si>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</si>
  <si>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</si>
  <si>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</si>
  <si>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</si>
  <si>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</si>
  <si>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</si>
  <si>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</si>
  <si>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</si>
  <si>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</si>
  <si>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</si>
  <si>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</si>
  <si>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</si>
  <si>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</si>
  <si>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</si>
  <si>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</si>
  <si>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</si>
  <si>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</si>
  <si>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</si>
  <si>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</si>
  <si>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</si>
  <si>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</si>
  <si>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</si>
  <si>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</si>
  <si>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</si>
  <si>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</si>
  <si>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</si>
  <si>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</si>
  <si>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</si>
  <si>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</si>
  <si>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</si>
  <si>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</si>
  <si>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</si>
  <si>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</si>
  <si>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</si>
  <si>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</si>
  <si>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</si>
  <si>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</si>
  <si>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</si>
  <si>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</si>
  <si>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</si>
  <si>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</si>
  <si>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</si>
  <si>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</si>
  <si>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</si>
  <si>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</si>
  <si>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</si>
  <si>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</si>
  <si>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</si>
  <si>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</si>
  <si>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</si>
  <si>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</si>
  <si>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</si>
  <si>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</si>
  <si>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</si>
  <si>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</si>
  <si>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</si>
  <si>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</si>
  <si>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</si>
  <si>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</si>
  <si>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</si>
  <si>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</si>
  <si>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</si>
  <si>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</si>
  <si>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</si>
  <si>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</si>
  <si>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</si>
  <si>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</si>
  <si>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</si>
  <si>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</si>
  <si>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</si>
  <si>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</si>
  <si>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</si>
  <si>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</si>
  <si>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</si>
  <si>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</si>
  <si>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</si>
  <si>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</si>
  <si>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</si>
  <si>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</si>
  <si>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</si>
  <si>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</si>
  <si>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</si>
  <si>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</si>
  <si>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</si>
  <si>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</si>
  <si>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</si>
  <si>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</si>
  <si>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</si>
  <si>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</si>
  <si>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</si>
  <si>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</si>
  <si>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</si>
  <si>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</si>
  <si>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</si>
  <si>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</si>
  <si>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</si>
  <si>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</si>
  <si>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</si>
  <si>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</si>
  <si>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</si>
  <si>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</si>
  <si>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</si>
  <si>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</si>
  <si>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</si>
  <si>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</si>
  <si>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</si>
  <si>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</si>
  <si>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</si>
  <si>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</si>
  <si>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</si>
  <si>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</si>
  <si>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</si>
  <si>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</si>
  <si>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</si>
  <si>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</si>
  <si>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</si>
  <si>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</si>
  <si>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</si>
  <si>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</si>
  <si>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</si>
  <si>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</si>
  <si>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</si>
  <si>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</si>
  <si>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</si>
  <si>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</si>
  <si>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</si>
  <si>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</si>
  <si>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</si>
  <si>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</si>
  <si>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</si>
  <si>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</si>
  <si>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</si>
  <si>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</si>
  <si>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</si>
  <si>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</si>
  <si>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</si>
  <si>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</si>
  <si>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</si>
  <si>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</si>
  <si>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</si>
  <si>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</si>
  <si>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</si>
  <si>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</si>
  <si>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</si>
  <si>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</si>
  <si>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</si>
  <si>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</si>
  <si>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</si>
  <si>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</si>
  <si>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</si>
  <si>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</si>
  <si>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</si>
  <si>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</si>
  <si>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</si>
  <si>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</si>
  <si>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</si>
  <si>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</si>
  <si>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</si>
  <si>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</si>
  <si>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</si>
  <si>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</si>
  <si>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</si>
  <si>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</si>
  <si>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</si>
  <si>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</si>
  <si>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</si>
  <si>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</si>
  <si>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</si>
  <si>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</si>
  <si>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</si>
  <si>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</si>
  <si>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</si>
  <si>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</si>
  <si>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</si>
  <si>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</si>
  <si>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</si>
  <si>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</si>
  <si>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</si>
  <si>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</si>
  <si>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</si>
  <si>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</si>
  <si>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</si>
  <si>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</si>
  <si>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</si>
  <si>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</si>
  <si>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</si>
  <si>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</si>
  <si>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</si>
  <si>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</si>
  <si>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</si>
  <si>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</si>
  <si>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</si>
  <si>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</si>
  <si>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</si>
  <si>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</si>
  <si>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</si>
  <si>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</si>
  <si>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</si>
  <si>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</si>
  <si>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</si>
  <si>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</si>
  <si>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</si>
  <si>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</si>
  <si>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</si>
  <si>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</si>
  <si>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</si>
  <si>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</si>
  <si>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</si>
  <si>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</si>
  <si>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</si>
  <si>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</si>
  <si>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</si>
  <si>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</si>
  <si>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</si>
  <si>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</si>
  <si>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</si>
  <si>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</si>
  <si>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</si>
  <si>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</si>
  <si>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</si>
  <si>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</si>
  <si>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</si>
  <si>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</si>
  <si>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</si>
  <si>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</si>
  <si>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</si>
  <si>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</si>
  <si>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</si>
  <si>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</si>
  <si>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</si>
  <si>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</si>
  <si>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</si>
  <si>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</si>
  <si>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</si>
  <si>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</si>
  <si>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</si>
  <si>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</si>
  <si>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</si>
  <si>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</si>
  <si>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</si>
  <si>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</si>
  <si>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</si>
  <si>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</si>
  <si>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</si>
  <si>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</si>
  <si>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</si>
  <si>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</si>
  <si>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</si>
  <si>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</si>
  <si>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</si>
  <si>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</si>
  <si>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</si>
  <si>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</si>
  <si>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</si>
  <si>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</si>
  <si>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</si>
  <si>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</si>
  <si>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</si>
  <si>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</si>
  <si>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</si>
  <si>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</si>
  <si>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</si>
  <si>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</si>
  <si>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</si>
  <si>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</si>
  <si>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</si>
  <si>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</si>
  <si>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</si>
  <si>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</si>
  <si>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</si>
  <si>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</si>
  <si>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</si>
  <si>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</si>
  <si>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</si>
  <si>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</si>
  <si>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</si>
  <si>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</si>
  <si>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</si>
  <si>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</si>
  <si>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</si>
  <si>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</si>
  <si>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</si>
  <si>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</si>
  <si>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</si>
  <si>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</si>
  <si>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</si>
  <si>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</si>
  <si>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</si>
  <si>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</si>
  <si>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</si>
  <si>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</si>
  <si>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</si>
  <si>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</si>
  <si>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</si>
  <si>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</si>
  <si>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</si>
  <si>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</si>
  <si>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</si>
  <si>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</si>
  <si>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</si>
  <si>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</si>
  <si>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</si>
  <si>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</si>
  <si>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</si>
  <si>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</si>
  <si>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</si>
  <si>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</si>
  <si>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</si>
  <si>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</si>
  <si>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</si>
  <si>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</si>
  <si>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</si>
  <si>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</si>
  <si>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</si>
  <si>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</si>
  <si>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</si>
  <si>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</si>
  <si>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</si>
  <si>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</si>
  <si>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</si>
  <si>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</si>
  <si>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</si>
  <si>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</si>
  <si>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</si>
  <si>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</si>
  <si>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</si>
  <si>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</si>
  <si>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</si>
  <si>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</si>
  <si>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</si>
  <si>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</si>
  <si>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</si>
  <si>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</si>
  <si>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</si>
  <si>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</si>
  <si>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</si>
  <si>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</si>
  <si>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</si>
  <si>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</si>
  <si>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</si>
  <si>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</si>
  <si>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</si>
  <si>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</si>
  <si>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</si>
  <si>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</si>
  <si>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</si>
  <si>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</si>
  <si>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</si>
  <si>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</si>
  <si>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</si>
  <si>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</si>
  <si>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</si>
  <si>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</si>
  <si>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</si>
  <si>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</si>
  <si>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</si>
  <si>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</si>
  <si>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</si>
  <si>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</si>
  <si>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</si>
  <si>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</si>
  <si>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</si>
  <si>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</si>
  <si>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</si>
  <si>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</si>
  <si>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</si>
  <si>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</si>
  <si>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</si>
  <si>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</si>
  <si>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</si>
  <si>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</si>
  <si>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</si>
  <si>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</si>
  <si>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</si>
  <si>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</si>
  <si>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</si>
  <si>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</si>
  <si>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</si>
  <si>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</si>
  <si>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</si>
  <si>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</si>
  <si>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</si>
  <si>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</si>
  <si>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</si>
  <si>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</si>
  <si>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</si>
  <si>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</si>
  <si>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</si>
  <si>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</si>
  <si>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</si>
  <si>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</si>
  <si>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</si>
  <si>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</si>
  <si>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</si>
  <si>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</si>
  <si>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</si>
  <si>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</si>
  <si>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</si>
  <si>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</si>
  <si>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</si>
  <si>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</si>
  <si>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</si>
  <si>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</si>
  <si>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</si>
  <si>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</si>
  <si>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</si>
  <si>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</si>
  <si>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</si>
  <si>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</si>
  <si>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</si>
  <si>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</si>
  <si>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</si>
  <si>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</si>
  <si>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</si>
  <si>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</si>
  <si>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</si>
  <si>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</si>
  <si>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</si>
  <si>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</si>
  <si>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</si>
  <si>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</si>
  <si>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</si>
  <si>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</si>
  <si>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</si>
  <si>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</si>
  <si>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</si>
  <si>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</si>
  <si>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</si>
  <si>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</si>
  <si>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</si>
  <si>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</si>
  <si>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</si>
  <si>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</si>
  <si>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</si>
  <si>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</si>
  <si>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</si>
  <si>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</si>
  <si>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</si>
  <si>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</si>
  <si>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</si>
  <si>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</si>
  <si>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</si>
  <si>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</si>
  <si>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</si>
  <si>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</si>
  <si>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</si>
  <si>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</si>
  <si>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</si>
  <si>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</si>
  <si>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</si>
  <si>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</si>
  <si>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</si>
  <si>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</si>
  <si>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</si>
  <si>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</si>
  <si>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</si>
  <si>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</si>
  <si>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</si>
  <si>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</si>
  <si>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</si>
  <si>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</si>
  <si>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</si>
  <si>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</si>
  <si>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</si>
  <si>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</si>
  <si>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</si>
  <si>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</si>
  <si>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</si>
  <si>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</si>
  <si>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</si>
  <si>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</si>
  <si>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</si>
  <si>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</si>
  <si>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</si>
  <si>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</si>
  <si>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AurElia Marquis</t>
  </si>
  <si>
    <t xml:space="preserve">ARDECHE</t>
  </si>
  <si>
    <t xml:space="preserve">ARDECHE A ST-JULIEN-DE-PEYROLAS</t>
  </si>
  <si>
    <t xml:space="preserve">06115700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</si>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</sst>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42549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10.3103448275862</v>
      </c>
      <c r="N5" s="324"/>
      <c r="O5" s="325" t="s">
        <v>151</v>
      </c>
      <c r="P5" s="326" t="n">
        <v>9.86956521739131</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80</v>
      </c>
      <c r="C7" s="342" t="n">
        <v>20</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10.0833333333333</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3400</v>
      </c>
      <c r="B9" s="358" t="n">
        <v>18</v>
      </c>
      <c r="C9" s="359" t="n">
        <v>4</v>
      </c>
      <c r="D9" s="360"/>
      <c r="E9" s="360"/>
      <c r="F9" s="361" t="n">
        <f aca="false">($B9*$B$7+$C9*$C$7)/100</f>
        <v>15.2</v>
      </c>
      <c r="G9" s="362"/>
      <c r="H9" s="317"/>
      <c r="I9" s="281"/>
      <c r="J9" s="363"/>
      <c r="K9" s="364"/>
      <c r="L9" s="347"/>
      <c r="M9" s="365"/>
      <c r="N9" s="355" t="s">
        <v>3401</v>
      </c>
      <c r="O9" s="356" t="n">
        <f aca="false">IF(ISERROR(STDEVP(J23:J82))," ",STDEVP(J23:J82))</f>
        <v>2.36143788588413</v>
      </c>
      <c r="P9" s="356" t="n">
        <f aca="false">IF(ISERROR(STDEVP(K23:K82)),"  ",STDEVP(K23:K82))</f>
        <v>0.623609564462324</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9</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1</v>
      </c>
      <c r="M13" s="381"/>
      <c r="N13" s="389" t="s">
        <v>3413</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5</v>
      </c>
      <c r="M15" s="381"/>
      <c r="N15" s="389" t="s">
        <v>3419</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19.285</v>
      </c>
      <c r="C20" s="433" t="n">
        <f aca="false">SUM(C23:C82)</f>
        <v>4.075</v>
      </c>
      <c r="D20" s="434"/>
      <c r="E20" s="435" t="s">
        <v>3426</v>
      </c>
      <c r="F20" s="436" t="n">
        <f aca="false">($B20*$B$7+$C20*$C$7)/100</f>
        <v>16.243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15.428</v>
      </c>
      <c r="C21" s="444" t="n">
        <f aca="false">C20*C7/100</f>
        <v>0.815</v>
      </c>
      <c r="D21" s="445" t="s">
        <v>3429</v>
      </c>
      <c r="E21" s="446"/>
      <c r="F21" s="447" t="n">
        <f aca="false">B21+C21</f>
        <v>16.243</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9.25</v>
      </c>
      <c r="C23" s="473" t="n">
        <v>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7.8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7.8</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2.9</v>
      </c>
      <c r="C24" s="491" t="n">
        <v>0.2</v>
      </c>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2.36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2.36</v>
      </c>
      <c r="S24" s="485" t="n">
        <f aca="false">IF(OR(ISTEXT(H24),R24=0),"",IF(R24&lt;0.1,1,IF(R24&lt;1,2,IF(R24&lt;10,3,IF(R24&lt;50,4,IF(R24&gt;=50,5,""))))))</f>
        <v>3</v>
      </c>
      <c r="T24" s="485" t="n">
        <f aca="false">IF(ISERROR(S24*J24),0,S24*J24)</f>
        <v>36</v>
      </c>
      <c r="U24" s="485" t="n">
        <f aca="false">IF(ISERROR(S24*J24*K24),0,S24*J24*K24)</f>
        <v>72</v>
      </c>
      <c r="V24" s="501" t="n">
        <f aca="false">IF(ISERROR(S24*K24),0,S24*K24)</f>
        <v>6</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171</v>
      </c>
      <c r="B25" s="490" t="n">
        <v>0.005</v>
      </c>
      <c r="C25" s="491"/>
      <c r="D25" s="492" t="str">
        <f aca="false">IF(ISERROR(VLOOKUP($A25,'liste reference'!$A$6:$B$1174,2,0)),IF(ISERROR(VLOOKUP($A25,'liste reference'!$B$6:$B$1174,1,0)),"",VLOOKUP($A25,'liste reference'!$B$6:$B$1174,1,0)),VLOOKUP($A25,'liste reference'!$A$6:$B$1174,2,0))</f>
        <v>Geitlerinema sp.</v>
      </c>
      <c r="E25" s="493" t="e">
        <f aca="false">IF(D25="",0,VLOOKUP(D25,D$22:D24,1,0))</f>
        <v>#N/A</v>
      </c>
      <c r="F25" s="494" t="n">
        <f aca="false">IF(AND(OR(A25="",A25="!!!!!!"),B25="",C25=""),"",IF(OR(AND(B25="",C25=""),ISERROR(C25+B25)),"!!!",($B25*$B$7+$C25*$C$7)/100))</f>
        <v>0.004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Geitlerinema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6451</v>
      </c>
      <c r="R25" s="484" t="n">
        <f aca="false">IF(ISTEXT(H25),"",(B25*$B$7/100)+(C25*$C$7/100))</f>
        <v>0.004</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GEISPX</v>
      </c>
      <c r="Z25" s="470" t="n">
        <f aca="false">IF(ISERROR(MATCH(A25,'liste reference'!$A$6:$A$1174,0)),IF(ISERROR(MATCH(A25,'liste reference'!$B$6:$B$1174,0)),"",(MATCH(A25,'liste reference'!$B$6:$B$1174,0))),(MATCH(A25,'liste reference'!$A$6:$A$1174,0)))</f>
        <v>47</v>
      </c>
    </row>
    <row r="26" customFormat="false" ht="12.75" hidden="false" customHeight="false" outlineLevel="0" collapsed="false">
      <c r="A26" s="489" t="s">
        <v>221</v>
      </c>
      <c r="B26" s="490" t="n">
        <v>1.6</v>
      </c>
      <c r="C26" s="491" t="n">
        <v>0.6</v>
      </c>
      <c r="D26" s="492" t="str">
        <f aca="false">IF(ISERROR(VLOOKUP($A26,'liste reference'!$A$6:$B$1174,2,0)),IF(ISERROR(VLOOKUP($A26,'liste reference'!$B$6:$B$1174,1,0)),"",VLOOKUP($A26,'liste reference'!$B$6:$B$1174,1,0)),VLOOKUP($A26,'liste reference'!$A$6:$B$1174,2,0))</f>
        <v>Leptolyngbya sp.</v>
      </c>
      <c r="E26" s="493" t="e">
        <f aca="false">IF(D26="",0,VLOOKUP(D26,D$22:D25,1,0))</f>
        <v>#N/A</v>
      </c>
      <c r="F26" s="494" t="n">
        <f aca="false">IF(AND(OR(A26="",A26="!!!!!!"),B26="",C26=""),"",IF(OR(AND(B26="",C26=""),ISERROR(C26+B26)),"!!!",($B26*$B$7+$C26*$C$7)/100))</f>
        <v>1.4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Leptolyngbya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6449</v>
      </c>
      <c r="R26" s="484" t="n">
        <f aca="false">IF(ISTEXT(H26),"",(B26*$B$7/100)+(C26*$C$7/100))</f>
        <v>1.4</v>
      </c>
      <c r="S26" s="485" t="n">
        <f aca="false">IF(OR(ISTEXT(H26),R26=0),"",IF(R26&lt;0.1,1,IF(R26&lt;1,2,IF(R26&lt;10,3,IF(R26&lt;50,4,IF(R26&gt;=50,5,""))))))</f>
        <v>3</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LETSPX</v>
      </c>
      <c r="Z26" s="470" t="n">
        <f aca="false">IF(ISERROR(MATCH(A26,'liste reference'!$A$6:$A$1174,0)),IF(ISERROR(MATCH(A26,'liste reference'!$B$6:$B$1174,0)),"",(MATCH(A26,'liste reference'!$B$6:$B$1174,0))),(MATCH(A26,'liste reference'!$A$6:$A$1174,0)))</f>
        <v>60</v>
      </c>
    </row>
    <row r="27" customFormat="false" ht="12.75" hidden="false" customHeight="false" outlineLevel="0" collapsed="false">
      <c r="A27" s="489" t="s">
        <v>300</v>
      </c>
      <c r="B27" s="490" t="n">
        <v>0.02</v>
      </c>
      <c r="C27" s="491" t="n">
        <v>0.005</v>
      </c>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0.017</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0.017</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309</v>
      </c>
      <c r="B28" s="490" t="n">
        <v>0.005</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0.004</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343</v>
      </c>
      <c r="B29" s="490" t="n">
        <v>5.2</v>
      </c>
      <c r="C29" s="491" t="n">
        <v>1.2</v>
      </c>
      <c r="D29" s="492" t="str">
        <f aca="false">IF(ISERROR(VLOOKUP($A29,'liste reference'!$A$6:$B$1174,2,0)),IF(ISERROR(VLOOKUP($A29,'liste reference'!$B$6:$B$1174,1,0)),"",VLOOKUP($A29,'liste reference'!$B$6:$B$1174,1,0)),VLOOKUP($A29,'liste reference'!$A$6:$B$1174,2,0))</f>
        <v>Spirogyra sp.</v>
      </c>
      <c r="E29" s="493" t="e">
        <f aca="false">IF(D29="",0,VLOOKUP(D29,D$22:D28,1,0))</f>
        <v>#N/A</v>
      </c>
      <c r="F29" s="494" t="n">
        <f aca="false">IF(AND(OR(A29="",A29="!!!!!!"),B29="",C29=""),"",IF(OR(AND(B29="",C29=""),ISERROR(C29+B29)),"!!!",($B29*$B$7+$C29*$C$7)/100))</f>
        <v>4.4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Spirogyra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1147</v>
      </c>
      <c r="R29" s="484" t="n">
        <f aca="false">IF(ISTEXT(H29),"",(B29*$B$7/100)+(C29*$C$7/100))</f>
        <v>4.4</v>
      </c>
      <c r="S29" s="485" t="n">
        <f aca="false">IF(OR(ISTEXT(H29),R29=0),"",IF(R29&lt;0.1,1,IF(R29&lt;1,2,IF(R29&lt;10,3,IF(R29&lt;50,4,IF(R29&gt;=50,5,""))))))</f>
        <v>3</v>
      </c>
      <c r="T29" s="485" t="n">
        <f aca="false">IF(ISERROR(S29*J29),0,S29*J29)</f>
        <v>30</v>
      </c>
      <c r="U29" s="485" t="n">
        <f aca="false">IF(ISERROR(S29*J29*K29),0,S29*J29*K29)</f>
        <v>30</v>
      </c>
      <c r="V29" s="501" t="n">
        <f aca="false">IF(ISERROR(S29*K29),0,S29*K29)</f>
        <v>3</v>
      </c>
      <c r="W29" s="502"/>
      <c r="X29" s="503"/>
      <c r="Y29" s="488" t="str">
        <f aca="false">IF(AND(ISNUMBER(F29),OR(A29="",A29="!!!!!!")),"!!!!!!",IF(A29="new.cod","NEWCOD",IF(AND((Z29=""),ISTEXT(A29),A29&lt;&gt;"!!!!!!"),A29,IF(Z29="","",INDEX('liste reference'!$A$6:$A$1174,Z29)))))</f>
        <v>SPISPX</v>
      </c>
      <c r="Z29" s="470" t="n">
        <f aca="false">IF(ISERROR(MATCH(A29,'liste reference'!$A$6:$A$1174,0)),IF(ISERROR(MATCH(A29,'liste reference'!$B$6:$B$1174,0)),"",(MATCH(A29,'liste reference'!$B$6:$B$1174,0))),(MATCH(A29,'liste reference'!$A$6:$A$1174,0)))</f>
        <v>102</v>
      </c>
    </row>
    <row r="30" customFormat="false" ht="12.75" hidden="false" customHeight="false" outlineLevel="0" collapsed="false">
      <c r="A30" s="489" t="s">
        <v>348</v>
      </c>
      <c r="B30" s="490" t="n">
        <v>0.03</v>
      </c>
      <c r="C30" s="491" t="n">
        <v>0.05</v>
      </c>
      <c r="D30" s="492" t="str">
        <f aca="false">IF(ISERROR(VLOOKUP($A30,'liste reference'!$A$6:$B$1174,2,0)),IF(ISERROR(VLOOKUP($A30,'liste reference'!$B$6:$B$1174,1,0)),"",VLOOKUP($A30,'liste reference'!$B$6:$B$1174,1,0)),VLOOKUP($A30,'liste reference'!$A$6:$B$1174,2,0))</f>
        <v>Stigeoclonium sp. (excep. S. tenue)</v>
      </c>
      <c r="E30" s="493" t="e">
        <f aca="false">IF(D30="",0,VLOOKUP(D30,D$22:D29,1,0))</f>
        <v>#N/A</v>
      </c>
      <c r="F30" s="494" t="n">
        <f aca="false">IF(AND(OR(A30="",A30="!!!!!!"),B30="",C30=""),"",IF(OR(AND(B30="",C30=""),ISERROR(C30+B30)),"!!!",($B30*$B$7+$C30*$C$7)/100))</f>
        <v>0.034</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Stigeoclonium sp. (excep. S. tenue)</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1119</v>
      </c>
      <c r="R30" s="484" t="n">
        <f aca="false">IF(ISTEXT(H30),"",(B30*$B$7/100)+(C30*$C$7/100))</f>
        <v>0.034</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STISPX</v>
      </c>
      <c r="Z30" s="470" t="n">
        <f aca="false">IF(ISERROR(MATCH(A30,'liste reference'!$A$6:$A$1174,0)),IF(ISERROR(MATCH(A30,'liste reference'!$B$6:$B$1174,0)),"",(MATCH(A30,'liste reference'!$B$6:$B$1174,0))),(MATCH(A30,'liste reference'!$A$6:$A$1174,0)))</f>
        <v>104</v>
      </c>
    </row>
    <row r="31" customFormat="false" ht="12.75" hidden="false" customHeight="false" outlineLevel="0" collapsed="false">
      <c r="A31" s="489" t="s">
        <v>385</v>
      </c>
      <c r="B31" s="490" t="n">
        <v>0.23</v>
      </c>
      <c r="C31" s="491" t="n">
        <v>0.005</v>
      </c>
      <c r="D31" s="492" t="str">
        <f aca="false">IF(ISERROR(VLOOKUP($A31,'liste reference'!$A$6:$B$1174,2,0)),IF(ISERROR(VLOOKUP($A31,'liste reference'!$B$6:$B$1174,1,0)),"",VLOOKUP($A31,'liste reference'!$B$6:$B$1174,1,0)),VLOOKUP($A31,'liste reference'!$A$6:$B$1174,2,0))</f>
        <v>Ulothrix sp.</v>
      </c>
      <c r="E31" s="493" t="e">
        <f aca="false">IF(D31="",0,VLOOKUP(D31,D$22:D30,1,0))</f>
        <v>#N/A</v>
      </c>
      <c r="F31" s="494" t="n">
        <f aca="false">IF(AND(OR(A31="",A31="!!!!!!"),B31="",C31=""),"",IF(OR(AND(B31="",C31=""),ISERROR(C31+B31)),"!!!",($B31*$B$7+$C31*$C$7)/100))</f>
        <v>0.185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Ulothrix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1142</v>
      </c>
      <c r="R31" s="484" t="n">
        <f aca="false">IF(ISTEXT(H31),"",(B31*$B$7/100)+(C31*$C$7/100))</f>
        <v>0.185</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ULOSPX</v>
      </c>
      <c r="Z31" s="470" t="n">
        <f aca="false">IF(ISERROR(MATCH(A31,'liste reference'!$A$6:$A$1174,0)),IF(ISERROR(MATCH(A31,'liste reference'!$B$6:$B$1174,0)),"",(MATCH(A31,'liste reference'!$B$6:$B$1174,0))),(MATCH(A31,'liste reference'!$A$6:$A$1174,0)))</f>
        <v>116</v>
      </c>
    </row>
    <row r="32" customFormat="false" ht="12.75" hidden="false" customHeight="false" outlineLevel="0" collapsed="false">
      <c r="A32" s="489" t="s">
        <v>707</v>
      </c>
      <c r="B32" s="490" t="n">
        <v>0.005</v>
      </c>
      <c r="C32" s="491"/>
      <c r="D32" s="492" t="str">
        <f aca="false">IF(ISERROR(VLOOKUP($A32,'liste reference'!$A$6:$B$1174,2,0)),IF(ISERROR(VLOOKUP($A32,'liste reference'!$B$6:$B$1174,1,0)),"",VLOOKUP($A32,'liste reference'!$B$6:$B$1174,1,0)),VLOOKUP($A32,'liste reference'!$A$6:$B$1174,2,0))</f>
        <v>Cinclidotus danubicus</v>
      </c>
      <c r="E32" s="493" t="e">
        <f aca="false">IF(D32="",0,VLOOKUP(D32,D$22:D31,1,0))</f>
        <v>#N/A</v>
      </c>
      <c r="F32" s="494" t="n">
        <f aca="false">IF(AND(OR(A32="",A32="!!!!!!"),B32="",C32=""),"",IF(OR(AND(B32="",C32=""),ISERROR(C32+B32)),"!!!",($B32*$B$7+$C32*$C$7)/100))</f>
        <v>0.004</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Cinclidotus danubicus</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1319</v>
      </c>
      <c r="R32" s="484" t="n">
        <f aca="false">IF(ISTEXT(H32),"",(B32*$B$7/100)+(C32*$C$7/100))</f>
        <v>0.004</v>
      </c>
      <c r="S32" s="485" t="n">
        <f aca="false">IF(OR(ISTEXT(H32),R32=0),"",IF(R32&lt;0.1,1,IF(R32&lt;1,2,IF(R32&lt;10,3,IF(R32&lt;50,4,IF(R32&gt;=50,5,""))))))</f>
        <v>1</v>
      </c>
      <c r="T32" s="485" t="n">
        <f aca="false">IF(ISERROR(S32*J32),0,S32*J32)</f>
        <v>13</v>
      </c>
      <c r="U32" s="485" t="n">
        <f aca="false">IF(ISERROR(S32*J32*K32),0,S32*J32*K32)</f>
        <v>39</v>
      </c>
      <c r="V32" s="501" t="n">
        <f aca="false">IF(ISERROR(S32*K32),0,S32*K32)</f>
        <v>3</v>
      </c>
      <c r="W32" s="502"/>
      <c r="X32" s="503"/>
      <c r="Y32" s="488" t="str">
        <f aca="false">IF(AND(ISNUMBER(F32),OR(A32="",A32="!!!!!!")),"!!!!!!",IF(A32="new.cod","NEWCOD",IF(AND((Z32=""),ISTEXT(A32),A32&lt;&gt;"!!!!!!"),A32,IF(Z32="","",INDEX('liste reference'!$A$6:$A$1174,Z32)))))</f>
        <v>CINDAN</v>
      </c>
      <c r="Z32" s="470" t="n">
        <f aca="false">IF(ISERROR(MATCH(A32,'liste reference'!$A$6:$A$1174,0)),IF(ISERROR(MATCH(A32,'liste reference'!$B$6:$B$1174,0)),"",(MATCH(A32,'liste reference'!$B$6:$B$1174,0))),(MATCH(A32,'liste reference'!$A$6:$A$1174,0)))</f>
        <v>222</v>
      </c>
    </row>
    <row r="33" customFormat="false" ht="12.75" hidden="false" customHeight="false" outlineLevel="0" collapsed="false">
      <c r="A33" s="489" t="s">
        <v>1522</v>
      </c>
      <c r="B33" s="490" t="n">
        <v>0.005</v>
      </c>
      <c r="C33" s="491" t="n">
        <v>0.005</v>
      </c>
      <c r="D33" s="492" t="str">
        <f aca="false">IF(ISERROR(VLOOKUP($A33,'liste reference'!$A$6:$B$1174,2,0)),IF(ISERROR(VLOOKUP($A33,'liste reference'!$B$6:$B$1174,1,0)),"",VLOOKUP($A33,'liste reference'!$B$6:$B$1174,1,0)),VLOOKUP($A33,'liste reference'!$A$6:$B$1174,2,0))</f>
        <v>Lemna minor</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Lemna minor</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1626</v>
      </c>
      <c r="R33" s="484" t="n">
        <f aca="false">IF(ISTEXT(H33),"",(B33*$B$7/100)+(C33*$C$7/100))</f>
        <v>0.005</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LEMMIN</v>
      </c>
      <c r="Z33" s="470" t="n">
        <f aca="false">IF(ISERROR(MATCH(A33,'liste reference'!$A$6:$A$1174,0)),IF(ISERROR(MATCH(A33,'liste reference'!$B$6:$B$1174,0)),"",(MATCH(A33,'liste reference'!$B$6:$B$1174,0))),(MATCH(A33,'liste reference'!$A$6:$A$1174,0)))</f>
        <v>473</v>
      </c>
    </row>
    <row r="34" customFormat="false" ht="12.75" hidden="false" customHeight="false" outlineLevel="0" collapsed="false">
      <c r="A34" s="489" t="s">
        <v>1524</v>
      </c>
      <c r="B34" s="490" t="n">
        <v>0.005</v>
      </c>
      <c r="C34" s="491"/>
      <c r="D34" s="492" t="str">
        <f aca="false">IF(ISERROR(VLOOKUP($A34,'liste reference'!$A$6:$B$1174,2,0)),IF(ISERROR(VLOOKUP($A34,'liste reference'!$B$6:$B$1174,1,0)),"",VLOOKUP($A34,'liste reference'!$B$6:$B$1174,1,0)),VLOOKUP($A34,'liste reference'!$A$6:$B$1174,2,0))</f>
        <v>Lemna minuta</v>
      </c>
      <c r="E34" s="493" t="e">
        <f aca="false">IF(D34="",0,VLOOKUP(D34,D$22:D33,1,0))</f>
        <v>#N/A</v>
      </c>
      <c r="F34" s="494" t="n">
        <f aca="false">IF(AND(OR(A34="",A34="!!!!!!"),B34="",C34=""),"",IF(OR(AND(B34="",C34=""),ISERROR(C34+B34)),"!!!",($B34*$B$7+$C34*$C$7)/100))</f>
        <v>0.004</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Lemna minuta</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29962</v>
      </c>
      <c r="R34" s="484" t="n">
        <f aca="false">IF(ISTEXT(H34),"",(B34*$B$7/100)+(C34*$C$7/100))</f>
        <v>0.004</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LEMMIT</v>
      </c>
      <c r="Z34" s="470" t="n">
        <f aca="false">IF(ISERROR(MATCH(A34,'liste reference'!$A$6:$A$1174,0)),IF(ISERROR(MATCH(A34,'liste reference'!$B$6:$B$1174,0)),"",(MATCH(A34,'liste reference'!$B$6:$B$1174,0))),(MATCH(A34,'liste reference'!$A$6:$A$1174,0)))</f>
        <v>474</v>
      </c>
    </row>
    <row r="35" customFormat="false" ht="12.75" hidden="false" customHeight="false" outlineLevel="0" collapsed="false">
      <c r="A35" s="489" t="s">
        <v>1557</v>
      </c>
      <c r="B35" s="490" t="n">
        <v>0.005</v>
      </c>
      <c r="C35" s="491" t="n">
        <v>0.005</v>
      </c>
      <c r="D35" s="492" t="str">
        <f aca="false">IF(ISERROR(VLOOKUP($A35,'liste reference'!$A$6:$B$1174,2,0)),IF(ISERROR(VLOOKUP($A35,'liste reference'!$B$6:$B$1174,1,0)),"",VLOOKUP($A35,'liste reference'!$B$6:$B$1174,1,0)),VLOOKUP($A35,'liste reference'!$A$6:$B$1174,2,0))</f>
        <v>Myriophyllum spicatum</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8</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Myriophyllum spicatum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1778</v>
      </c>
      <c r="R35" s="484" t="n">
        <f aca="false">IF(ISTEXT(H35),"",(B35*$B$7/100)+(C35*$C$7/100))</f>
        <v>0.005</v>
      </c>
      <c r="S35" s="485" t="n">
        <f aca="false">IF(OR(ISTEXT(H35),R35=0),"",IF(R35&lt;0.1,1,IF(R35&lt;1,2,IF(R35&lt;10,3,IF(R35&lt;50,4,IF(R35&gt;=50,5,""))))))</f>
        <v>1</v>
      </c>
      <c r="T35" s="485" t="n">
        <f aca="false">IF(ISERROR(S35*J35),0,S35*J35)</f>
        <v>8</v>
      </c>
      <c r="U35" s="485" t="n">
        <f aca="false">IF(ISERROR(S35*J35*K35),0,S35*J35*K35)</f>
        <v>16</v>
      </c>
      <c r="V35" s="501" t="n">
        <f aca="false">IF(ISERROR(S35*K35),0,S35*K35)</f>
        <v>2</v>
      </c>
      <c r="W35" s="502"/>
      <c r="X35" s="503"/>
      <c r="Y35" s="488" t="str">
        <f aca="false">IF(AND(ISNUMBER(F35),OR(A35="",A35="!!!!!!")),"!!!!!!",IF(A35="new.cod","NEWCOD",IF(AND((Z35=""),ISTEXT(A35),A35&lt;&gt;"!!!!!!"),A35,IF(Z35="","",INDEX('liste reference'!$A$6:$A$1174,Z35)))))</f>
        <v>MYRSPI</v>
      </c>
      <c r="Z35" s="470" t="n">
        <f aca="false">IF(ISERROR(MATCH(A35,'liste reference'!$A$6:$A$1174,0)),IF(ISERROR(MATCH(A35,'liste reference'!$B$6:$B$1174,0)),"",(MATCH(A35,'liste reference'!$B$6:$B$1174,0))),(MATCH(A35,'liste reference'!$A$6:$A$1174,0)))</f>
        <v>486</v>
      </c>
    </row>
    <row r="36" customFormat="false" ht="12.75" hidden="false" customHeight="false" outlineLevel="0" collapsed="false">
      <c r="A36" s="489" t="s">
        <v>1784</v>
      </c>
      <c r="B36" s="490" t="n">
        <v>0.02</v>
      </c>
      <c r="C36" s="491" t="n">
        <v>0.005</v>
      </c>
      <c r="D36" s="492" t="str">
        <f aca="false">IF(ISERROR(VLOOKUP($A36,'liste reference'!$A$6:$B$1174,2,0)),IF(ISERROR(VLOOKUP($A36,'liste reference'!$B$6:$B$1174,1,0)),"",VLOOKUP($A36,'liste reference'!$B$6:$B$1174,1,0)),VLOOKUP($A36,'liste reference'!$A$6:$B$1174,2,0))</f>
        <v>Ranunculus fluitans</v>
      </c>
      <c r="E36" s="493" t="e">
        <f aca="false">IF(D36="",0,VLOOKUP(D36,D$22:D35,1,0))</f>
        <v>#N/A</v>
      </c>
      <c r="F36" s="494" t="n">
        <f aca="false">IF(AND(OR(A36="",A36="!!!!!!"),B36="",C36=""),"",IF(OR(AND(B36="",C36=""),ISERROR(C36+B36)),"!!!",($B36*$B$7+$C36*$C$7)/100))</f>
        <v>0.017</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Ranunculus fluitans</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1903</v>
      </c>
      <c r="R36" s="484" t="n">
        <f aca="false">IF(ISTEXT(H36),"",(B36*$B$7/100)+(C36*$C$7/100))</f>
        <v>0.017</v>
      </c>
      <c r="S36" s="485" t="n">
        <f aca="false">IF(OR(ISTEXT(H36),R36=0),"",IF(R36&lt;0.1,1,IF(R36&lt;1,2,IF(R36&lt;10,3,IF(R36&lt;50,4,IF(R36&gt;=50,5,""))))))</f>
        <v>1</v>
      </c>
      <c r="T36" s="485" t="n">
        <f aca="false">IF(ISERROR(S36*J36),0,S36*J36)</f>
        <v>10</v>
      </c>
      <c r="U36" s="485" t="n">
        <f aca="false">IF(ISERROR(S36*J36*K36),0,S36*J36*K36)</f>
        <v>20</v>
      </c>
      <c r="V36" s="501" t="n">
        <f aca="false">IF(ISERROR(S36*K36),0,S36*K36)</f>
        <v>2</v>
      </c>
      <c r="W36" s="502"/>
      <c r="X36" s="503"/>
      <c r="Y36" s="488" t="str">
        <f aca="false">IF(AND(ISNUMBER(F36),OR(A36="",A36="!!!!!!")),"!!!!!!",IF(A36="new.cod","NEWCOD",IF(AND((Z36=""),ISTEXT(A36),A36&lt;&gt;"!!!!!!"),A36,IF(Z36="","",INDEX('liste reference'!$A$6:$A$1174,Z36)))))</f>
        <v>RANFLU</v>
      </c>
      <c r="Z36" s="470" t="n">
        <f aca="false">IF(ISERROR(MATCH(A36,'liste reference'!$A$6:$A$1174,0)),IF(ISERROR(MATCH(A36,'liste reference'!$B$6:$B$1174,0)),"",(MATCH(A36,'liste reference'!$B$6:$B$1174,0))),(MATCH(A36,'liste reference'!$A$6:$A$1174,0)))</f>
        <v>566</v>
      </c>
    </row>
    <row r="37" customFormat="false" ht="12.75" hidden="false" customHeight="false" outlineLevel="0" collapsed="false">
      <c r="A37" s="489" t="s">
        <v>1932</v>
      </c>
      <c r="B37" s="490" t="n">
        <v>0.005</v>
      </c>
      <c r="C37" s="491"/>
      <c r="D37" s="492" t="str">
        <f aca="false">IF(ISERROR(VLOOKUP($A37,'liste reference'!$A$6:$B$1174,2,0)),IF(ISERROR(VLOOKUP($A37,'liste reference'!$B$6:$B$1174,1,0)),"",VLOOKUP($A37,'liste reference'!$B$6:$B$1174,1,0)),VLOOKUP($A37,'liste reference'!$A$6:$B$1174,2,0))</f>
        <v>Agrostis stolonifera</v>
      </c>
      <c r="E37" s="493" t="e">
        <f aca="false">IF(D37="",0,VLOOKUP(D37,D$22:D36,1,0))</f>
        <v>#N/A</v>
      </c>
      <c r="F37" s="494" t="n">
        <f aca="false">IF(AND(OR(A37="",A37="!!!!!!"),B37="",C37=""),"",IF(OR(AND(B37="",C37=""),ISERROR(C37+B37)),"!!!",($B37*$B$7+$C37*$C$7)/100))</f>
        <v>0.004</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Agrostis stolonifera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1543</v>
      </c>
      <c r="R37" s="484" t="n">
        <f aca="false">IF(ISTEXT(H37),"",(B37*$B$7/100)+(C37*$C$7/100))</f>
        <v>0.004</v>
      </c>
      <c r="S37" s="485" t="n">
        <f aca="false">IF(OR(ISTEXT(H37),R37=0),"",IF(R37&lt;0.1,1,IF(R37&lt;1,2,IF(R37&lt;10,3,IF(R37&lt;50,4,IF(R37&gt;=50,5,""))))))</f>
        <v>1</v>
      </c>
      <c r="T37" s="485" t="n">
        <f aca="false">IF(ISERROR(S37*J37),0,S37*J37)</f>
        <v>10</v>
      </c>
      <c r="U37" s="485" t="n">
        <f aca="false">IF(ISERROR(S37*J37*K37),0,S37*J37*K37)</f>
        <v>10</v>
      </c>
      <c r="V37" s="501" t="n">
        <f aca="false">IF(ISERROR(S37*K37),0,S37*K37)</f>
        <v>1</v>
      </c>
      <c r="W37" s="502"/>
      <c r="X37" s="503"/>
      <c r="Y37" s="488" t="str">
        <f aca="false">IF(AND(ISNUMBER(F37),OR(A37="",A37="!!!!!!")),"!!!!!!",IF(A37="new.cod","NEWCOD",IF(AND((Z37=""),ISTEXT(A37),A37&lt;&gt;"!!!!!!"),A37,IF(Z37="","",INDEX('liste reference'!$A$6:$A$1174,Z37)))))</f>
        <v>AGRSTO</v>
      </c>
      <c r="Z37" s="470" t="n">
        <f aca="false">IF(ISERROR(MATCH(A37,'liste reference'!$A$6:$A$1174,0)),IF(ISERROR(MATCH(A37,'liste reference'!$B$6:$B$1174,0)),"",(MATCH(A37,'liste reference'!$B$6:$B$1174,0))),(MATCH(A37,'liste reference'!$A$6:$A$1174,0)))</f>
        <v>623</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16.243</v>
      </c>
      <c r="G83" s="424"/>
      <c r="H83" s="424"/>
      <c r="I83" s="424"/>
      <c r="J83" s="424"/>
      <c r="K83" s="424"/>
      <c r="L83" s="424"/>
      <c r="M83" s="485"/>
      <c r="N83" s="485"/>
      <c r="O83" s="485"/>
      <c r="P83" s="485"/>
      <c r="Q83" s="485"/>
      <c r="R83" s="485"/>
      <c r="S83" s="485"/>
      <c r="T83" s="485"/>
      <c r="U83" s="485"/>
      <c r="V83" s="485" t="n">
        <f aca="false">SUM(V23:V82)</f>
        <v>29</v>
      </c>
      <c r="W83" s="485"/>
      <c r="X83" s="523"/>
      <c r="Y83" s="523"/>
      <c r="Z83" s="524"/>
    </row>
    <row r="84" customFormat="false" ht="12.75" hidden="true" customHeight="false" outlineLevel="0" collapsed="false">
      <c r="A84" s="518" t="str">
        <f aca="false">A3</f>
        <v>ARDECHE</v>
      </c>
      <c r="B84" s="453" t="str">
        <f aca="false">C3</f>
        <v>ARDECHE A ST-JULIEN-DE-PEYROLAS</v>
      </c>
      <c r="C84" s="525" t="str">
        <f aca="false">A4</f>
        <v>(Date)</v>
      </c>
      <c r="D84" s="526" t="n">
        <f aca="false">IF(OR(ISERROR(SUM($U$23:$U$82)/SUM($V$23:$V$82)),F7&lt;&gt;100),-1,SUM($U$23:$U$82)/SUM($V$23:$V$82))</f>
        <v>10.3103448275862</v>
      </c>
      <c r="E84" s="527" t="n">
        <f aca="false">O13</f>
        <v>15</v>
      </c>
      <c r="F84" s="453" t="n">
        <f aca="false">O14</f>
        <v>12</v>
      </c>
      <c r="G84" s="453" t="n">
        <f aca="false">O15</f>
        <v>5</v>
      </c>
      <c r="H84" s="453" t="n">
        <f aca="false">O16</f>
        <v>6</v>
      </c>
      <c r="I84" s="453" t="n">
        <f aca="false">O17</f>
        <v>1</v>
      </c>
      <c r="J84" s="528" t="n">
        <f aca="false">O8</f>
        <v>10.0833333333333</v>
      </c>
      <c r="K84" s="529" t="n">
        <f aca="false">O9</f>
        <v>2.36143788588413</v>
      </c>
      <c r="L84" s="530" t="n">
        <f aca="false">O10</f>
        <v>6</v>
      </c>
      <c r="M84" s="530" t="n">
        <f aca="false">O11</f>
        <v>13</v>
      </c>
      <c r="N84" s="529" t="n">
        <f aca="false">P8</f>
        <v>1.66666666666667</v>
      </c>
      <c r="O84" s="529" t="n">
        <f aca="false">P9</f>
        <v>0.623609564462324</v>
      </c>
      <c r="P84" s="530" t="n">
        <f aca="false">P10</f>
        <v>1</v>
      </c>
      <c r="Q84" s="530" t="n">
        <f aca="false">P11</f>
        <v>3</v>
      </c>
      <c r="R84" s="530" t="n">
        <f aca="false">F21</f>
        <v>16.243</v>
      </c>
      <c r="S84" s="530" t="n">
        <f aca="false">L11</f>
        <v>0</v>
      </c>
      <c r="T84" s="530" t="n">
        <f aca="false">L12</f>
        <v>9</v>
      </c>
      <c r="U84" s="530" t="n">
        <f aca="false">L13</f>
        <v>1</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36</v>
      </c>
      <c r="U87" s="281"/>
      <c r="V87" s="281"/>
    </row>
    <row r="88" customFormat="false" ht="12.75" hidden="true" customHeight="false" outlineLevel="0" collapsed="false">
      <c r="C88" s="534"/>
      <c r="D88" s="534"/>
      <c r="E88" s="534"/>
      <c r="R88" s="281" t="s">
        <v>3453</v>
      </c>
      <c r="S88" s="281"/>
      <c r="T88" s="536" t="n">
        <f aca="false">VLOOKUP($T$91,($A$23:$U$82),21,0)</f>
        <v>72</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9.86956521739131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DIASPX</v>
      </c>
      <c r="U91" s="281" t="n">
        <f aca="false">IF(ISERROR(MATCH($T$93,'liste reference'!$A$6:$A$1174,0)),MATCH($T$93,'liste reference'!$B$6:$B$1174,0),(MATCH($T$93,'liste reference'!$A$6:$A$1174,0)))</f>
        <v>40</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DIASPX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2017-01-05T10:45:53Z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