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'[1]'!$H$1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name="_xlfn_IFERROR" vbProcedure="false"/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<sst xmlns="http://schemas.openxmlformats.org/spreadsheetml/2006/main" count="96" uniqueCount="92">
  <si>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</si>
  <si>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</si>
  <si>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</si>
  <si>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L.BOURGOIN C.BERNARD</t>
  </si>
  <si>
    <t xml:space="preserve">conforme AFNOR T90-395 oct. 2003</t>
  </si>
  <si>
    <t xml:space="preserve">Establet</t>
  </si>
  <si>
    <t xml:space="preserve">Establet à la Charce</t>
  </si>
  <si>
    <t xml:space="preserve">06116625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</si>
  <si>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</si>
  <si>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</si>
  <si>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</si>
  <si>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</si>
  <si>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</si>
  <si>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</si>
  <si>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</si>
  <si>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</si>
  <si>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JUGATR</t>
  </si>
  <si>
    <t xml:space="preserve">Faciès dominant</t>
  </si>
  <si>
    <t xml:space="preserve">pl. courant</t>
  </si>
  <si>
    <t xml:space="preserve">pl. lent</t>
  </si>
  <si>
    <t xml:space="preserve">niv. trophique:</t>
  </si>
  <si>
    <t xml:space="preserve">très faible</t>
  </si>
  <si>
    <t xml:space="preserve">(très faible)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</si>
  <si>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</si>
  <si>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</si>
  <si>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</si>
  <si>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</si>
  <si>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</si>
  <si>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</si>
  <si>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</si>
  <si>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</si>
  <si>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</si>
  <si>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</si>
  <si>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</si>
  <si>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</si>
  <si>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</si>
  <si>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</si>
  <si>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</si>
  <si>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</si>
  <si>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</si>
  <si>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</si>
  <si>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</si>
  <si>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</si>
  <si>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</si>
  <si>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</si>
  <si>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</si>
  <si>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</si>
  <si>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</si>
  <si>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</si>
  <si>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</si>
  <si>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</si>
  <si>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</si>
  <si>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</si>
  <si>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</si>
  <si>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</si>
  <si>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</si>
  <si>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</si>
  <si>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</si>
  <si>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</si>
  <si>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</si>
  <si>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</si>
  <si>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</si>
  <si>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</si>
  <si>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</si>
  <si>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</si>
  <si>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</si>
  <si>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</si>
  <si>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</si>
  <si>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</si>
  <si>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</si>
  <si>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</si>
  <si>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</si>
  <si>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</si>
  <si>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</si>
  <si>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</si>
  <si>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</si>
  <si>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</si>
  <si>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PHOSPX</t>
  </si>
  <si>
    <t xml:space="preserve">TOYSPX</t>
  </si>
  <si>
    <t xml:space="preserve">PELEND</t>
  </si>
  <si>
    <t xml:space="preserve">DREFLU</t>
  </si>
  <si>
    <t xml:space="preserve">EUCVER</t>
  </si>
  <si>
    <t xml:space="preserve">SCSRIV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</si>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</sst>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00CCFF"/>
        <bgColor rgb="FF33CC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ESTAC_19-06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41444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15.6</v>
      </c>
      <c r="M5" s="53"/>
      <c r="N5" s="54" t="s">
        <v>16</v>
      </c>
      <c r="O5" s="55" t="n">
        <v>14.1428571428571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80</v>
      </c>
      <c r="C7" s="67" t="n">
        <v>20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15.25</v>
      </c>
      <c r="O8" s="84" t="n">
        <f aca="false">IF(ISERROR(AVERAGE(J23:J82)),"      -",AVERAGE(J23:J82))</f>
        <v>2.5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0.3</v>
      </c>
      <c r="C9" s="87" t="n">
        <v>0.3</v>
      </c>
      <c r="D9" s="88"/>
      <c r="E9" s="88"/>
      <c r="F9" s="89" t="n">
        <f aca="false">($B9*$B$7+$C9*$C$7)/100</f>
        <v>0.3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2.27760839478608</v>
      </c>
      <c r="O9" s="84" t="n">
        <f aca="false">IF(ISERROR(STDEVP(J23:J82)),"      -",STDEVP(J23:J82))</f>
        <v>0.5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/>
      <c r="C10" s="99"/>
      <c r="D10" s="100"/>
      <c r="E10" s="100"/>
      <c r="F10" s="89"/>
      <c r="G10" s="90"/>
      <c r="H10" s="101"/>
      <c r="I10" s="102"/>
      <c r="J10" s="103" t="s">
        <v>32</v>
      </c>
      <c r="K10" s="103"/>
      <c r="L10" s="104"/>
      <c r="M10" s="105" t="s">
        <v>33</v>
      </c>
      <c r="N10" s="106" t="n">
        <f aca="false">MIN(I23:I82)</f>
        <v>13</v>
      </c>
      <c r="O10" s="106" t="n">
        <f aca="false">MIN(J23:J82)</f>
        <v>2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34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35</v>
      </c>
      <c r="J11" s="114"/>
      <c r="K11" s="115" t="n">
        <f aca="false">COUNTIF($G$23:$G$82,"=HET")</f>
        <v>0</v>
      </c>
      <c r="L11" s="116"/>
      <c r="M11" s="105" t="s">
        <v>36</v>
      </c>
      <c r="N11" s="106" t="n">
        <f aca="false">MAX(I23:I82)</f>
        <v>19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37</v>
      </c>
      <c r="B12" s="118" t="n">
        <v>0.2</v>
      </c>
      <c r="C12" s="119" t="n">
        <v>0.1</v>
      </c>
      <c r="D12" s="111"/>
      <c r="E12" s="111"/>
      <c r="F12" s="112" t="n">
        <f aca="false">($B12*$B$7+$C12*$C$7)/100</f>
        <v>0.18</v>
      </c>
      <c r="G12" s="120"/>
      <c r="H12" s="68"/>
      <c r="I12" s="121" t="s">
        <v>38</v>
      </c>
      <c r="J12" s="121"/>
      <c r="K12" s="115" t="n">
        <f aca="false">COUNTIF($G$23:$G$82,"=ALG")</f>
        <v>2</v>
      </c>
      <c r="L12" s="122"/>
      <c r="M12" s="123"/>
      <c r="N12" s="124" t="s">
        <v>32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39</v>
      </c>
      <c r="B13" s="118" t="n">
        <v>0.1</v>
      </c>
      <c r="C13" s="119" t="n">
        <v>0.2</v>
      </c>
      <c r="D13" s="111"/>
      <c r="E13" s="111"/>
      <c r="F13" s="112" t="n">
        <f aca="false">($B13*$B$7+$C13*$C$7)/100</f>
        <v>0.12</v>
      </c>
      <c r="G13" s="120"/>
      <c r="H13" s="68"/>
      <c r="I13" s="121" t="s">
        <v>40</v>
      </c>
      <c r="J13" s="121"/>
      <c r="K13" s="115" t="n">
        <f aca="false">COUNTIF($G$23:$G$82,"=BRm")+COUNTIF($G$23:$G$82,"=BRh")</f>
        <v>5</v>
      </c>
      <c r="L13" s="116"/>
      <c r="M13" s="127" t="s">
        <v>41</v>
      </c>
      <c r="N13" s="128" t="n">
        <f aca="false">COUNTIF(F23:F82,"&gt;0")</f>
        <v>7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42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43</v>
      </c>
      <c r="J14" s="121"/>
      <c r="K14" s="115" t="n">
        <f aca="false">COUNTIF($G$23:$G$82,"=PTE")+COUNTIF($G$23:$G$82,"=LIC")</f>
        <v>0</v>
      </c>
      <c r="L14" s="116"/>
      <c r="M14" s="131" t="s">
        <v>44</v>
      </c>
      <c r="N14" s="132" t="n">
        <f aca="false">COUNTIF($I$23:$I$82,"&gt;-1")</f>
        <v>4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45</v>
      </c>
      <c r="B15" s="135"/>
      <c r="C15" s="136"/>
      <c r="D15" s="111"/>
      <c r="E15" s="111"/>
      <c r="F15" s="112" t="n">
        <f aca="false">($B15*$B$7+$C15*$C$7)/100</f>
        <v>0</v>
      </c>
      <c r="G15" s="120"/>
      <c r="H15" s="68"/>
      <c r="I15" s="121" t="s">
        <v>46</v>
      </c>
      <c r="J15" s="121"/>
      <c r="K15" s="115" t="n">
        <f aca="false">(COUNTIF($G$23:$G$82,"=PHy"))+(COUNTIF($G$23:$G$82,"=PHe"))+(COUNTIF($G$23:$G$82,"=PHg"))+(COUNTIF($G$23:$G$82,"=PHx"))</f>
        <v>0</v>
      </c>
      <c r="L15" s="116"/>
      <c r="M15" s="137" t="s">
        <v>47</v>
      </c>
      <c r="N15" s="138" t="n">
        <f aca="false">COUNTIF(J23:J82,"=1")</f>
        <v>0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48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49</v>
      </c>
      <c r="N16" s="138" t="n">
        <f aca="false">COUNTIF(J23:J82,"=2")</f>
        <v>2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50</v>
      </c>
      <c r="B17" s="118" t="n">
        <v>0.3</v>
      </c>
      <c r="C17" s="119" t="n">
        <v>0.3</v>
      </c>
      <c r="D17" s="111"/>
      <c r="E17" s="111"/>
      <c r="F17" s="143"/>
      <c r="G17" s="112" t="n">
        <f aca="false">($B17*$B$7+$C17*$C$7)/100</f>
        <v>0.3</v>
      </c>
      <c r="H17" s="68"/>
      <c r="I17" s="121"/>
      <c r="J17" s="121"/>
      <c r="K17" s="142"/>
      <c r="L17" s="116"/>
      <c r="M17" s="137" t="s">
        <v>51</v>
      </c>
      <c r="N17" s="138" t="n">
        <f aca="false">COUNTIF(J23:J82,"=3")</f>
        <v>2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52</v>
      </c>
      <c r="B18" s="145"/>
      <c r="C18" s="146"/>
      <c r="D18" s="111"/>
      <c r="E18" s="147" t="s">
        <v>53</v>
      </c>
      <c r="F18" s="143"/>
      <c r="G18" s="112" t="n">
        <f aca="false">($B18*$B$7+$C18*$C$7)/100</f>
        <v>0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0.3</v>
      </c>
      <c r="G19" s="156" t="n">
        <f aca="false">SUM(G16:G18)</f>
        <v>0.3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54</v>
      </c>
      <c r="B20" s="165" t="n">
        <f aca="false">SUM(B23:B82)</f>
        <v>0.33</v>
      </c>
      <c r="C20" s="166" t="n">
        <f aca="false">SUM(C23:C82)</f>
        <v>0.35</v>
      </c>
      <c r="D20" s="167"/>
      <c r="E20" s="168" t="s">
        <v>53</v>
      </c>
      <c r="F20" s="169" t="n">
        <f aca="false">($B20*$B$7+$C20*$C$7)/100</f>
        <v>0.334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55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56</v>
      </c>
      <c r="B21" s="179" t="n">
        <f aca="false">B20*B7/100</f>
        <v>0.264</v>
      </c>
      <c r="C21" s="179" t="n">
        <f aca="false">C20*C7/100</f>
        <v>0.07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0.334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57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58</v>
      </c>
      <c r="B22" s="190" t="s">
        <v>59</v>
      </c>
      <c r="C22" s="191" t="s">
        <v>59</v>
      </c>
      <c r="D22" s="140"/>
      <c r="E22" s="140"/>
      <c r="F22" s="192" t="s">
        <v>60</v>
      </c>
      <c r="G22" s="193" t="s">
        <v>61</v>
      </c>
      <c r="H22" s="140"/>
      <c r="I22" s="194" t="s">
        <v>62</v>
      </c>
      <c r="J22" s="194" t="s">
        <v>63</v>
      </c>
      <c r="K22" s="195" t="s">
        <v>64</v>
      </c>
      <c r="L22" s="195"/>
      <c r="M22" s="195"/>
      <c r="N22" s="195"/>
      <c r="O22" s="195"/>
      <c r="P22" s="196" t="s">
        <v>65</v>
      </c>
      <c r="Q22" s="197" t="s">
        <v>66</v>
      </c>
      <c r="R22" s="198" t="s">
        <v>67</v>
      </c>
      <c r="S22" s="199" t="s">
        <v>68</v>
      </c>
      <c r="T22" s="200" t="s">
        <v>69</v>
      </c>
      <c r="U22" s="201" t="s">
        <v>70</v>
      </c>
      <c r="V22" s="199" t="s">
        <v>71</v>
      </c>
      <c r="Y22" s="10" t="s">
        <v>72</v>
      </c>
      <c r="Z22" s="10" t="s">
        <v>73</v>
      </c>
      <c r="AA22" s="202" t="s">
        <v>74</v>
      </c>
      <c r="AB22" s="202" t="s">
        <v>75</v>
      </c>
      <c r="AC22" s="203" t="s">
        <v>76</v>
      </c>
    </row>
    <row r="23" customFormat="false" ht="12.75" hidden="false" customHeight="false" outlineLevel="0" collapsed="false">
      <c r="A23" s="204" t="s">
        <v>77</v>
      </c>
      <c r="B23" s="205" t="n">
        <v>0.01</v>
      </c>
      <c r="C23" s="206" t="n">
        <v>0</v>
      </c>
      <c r="D23" s="207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Phormidium sp.</v>
      </c>
      <c r="E23" s="207" t="e">
        <f aca="false">IF(D23="",0,VLOOKUP(D23,D$22:D22,1,0))</f>
        <v>#N/A</v>
      </c>
      <c r="F23" s="208" t="n">
        <f aca="false">($B23*$B$7+$C23*$C$7)/100</f>
        <v>0.008</v>
      </c>
      <c r="G23" s="209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10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1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13</v>
      </c>
      <c r="J23" s="211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2</v>
      </c>
      <c r="K23" s="212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Phormidium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6414</v>
      </c>
      <c r="Q23" s="216" t="n">
        <f aca="false">IF(ISTEXT(H23),"",(B23*$B$7/100)+(C23*$C$7/100))</f>
        <v>0.008</v>
      </c>
      <c r="R23" s="217" t="n">
        <f aca="false">IF(OR(ISTEXT(H23),Q23=0),"",IF(Q23&lt;0.1,1,IF(Q23&lt;1,2,IF(Q23&lt;10,3,IF(Q23&lt;50,4,IF(Q23&gt;=50,5,""))))))</f>
        <v>1</v>
      </c>
      <c r="S23" s="217" t="n">
        <f aca="false">IF(ISERROR(R23*I23),0,R23*I23)</f>
        <v>13</v>
      </c>
      <c r="T23" s="217" t="n">
        <f aca="false">IF(ISERROR(R23*I23*J23),0,R23*I23*J23)</f>
        <v>26</v>
      </c>
      <c r="U23" s="217" t="n">
        <f aca="false">IF(ISERROR(R23*J23),0,R23*J23)</f>
        <v>2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IF(A23="new.cod","NEWCOD",IF(AND((Z23=""),ISTEXT(A23)),A23,IF(Z23="","",INDEX('[1]liste reference'!$A$8:$A$904,Z23))))</f>
        <v>PHOSPX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57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78</v>
      </c>
      <c r="B24" s="224" t="n">
        <v>0.21</v>
      </c>
      <c r="C24" s="225" t="n">
        <v>0.11</v>
      </c>
      <c r="D24" s="207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Tolypothrix sp.</v>
      </c>
      <c r="E24" s="226" t="e">
        <f aca="false">IF(D24="",0,VLOOKUP(D24,D$22:D23,1,0))</f>
        <v>#N/A</v>
      </c>
      <c r="F24" s="227" t="n">
        <f aca="false">($B24*$B$7+$C24*$C$7)/100</f>
        <v>0.19</v>
      </c>
      <c r="G24" s="209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10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1" t="str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/>
      </c>
      <c r="J24" s="211" t="str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/>
      </c>
      <c r="K24" s="212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Tolypothrix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6304</v>
      </c>
      <c r="Q24" s="216" t="n">
        <f aca="false">IF(ISTEXT(H24),"",(B24*$B$7/100)+(C24*$C$7/100))</f>
        <v>0.19</v>
      </c>
      <c r="R24" s="217" t="n">
        <f aca="false">IF(OR(ISTEXT(H24),Q24=0),"",IF(Q24&lt;0.1,1,IF(Q24&lt;1,2,IF(Q24&lt;10,3,IF(Q24&lt;50,4,IF(Q24&gt;=50,5,""))))))</f>
        <v>2</v>
      </c>
      <c r="S24" s="217" t="n">
        <f aca="false">IF(ISERROR(R24*I24),0,R24*I24)</f>
        <v>0</v>
      </c>
      <c r="T24" s="217" t="n">
        <f aca="false">IF(ISERROR(R24*I24*J24),0,R24*I24*J24)</f>
        <v>0</v>
      </c>
      <c r="U24" s="229" t="n">
        <f aca="false">IF(ISERROR(R24*J24),0,R24*J24)</f>
        <v>0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IF(A24="new.cod","NEWCOD",IF(AND((Z24=""),ISTEXT(A24)),A24,IF(Z24="","",INDEX('[1]liste reference'!$A$8:$A$904,Z24))))</f>
        <v>TOYSPX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79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16</v>
      </c>
      <c r="B25" s="224" t="n">
        <v>0</v>
      </c>
      <c r="C25" s="225" t="n">
        <v>0.01</v>
      </c>
      <c r="D25" s="207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Jungermannia atrovirens</v>
      </c>
      <c r="E25" s="226" t="e">
        <f aca="false">IF(D25="",0,VLOOKUP(D25,D$22:D24,1,0))</f>
        <v>#N/A</v>
      </c>
      <c r="F25" s="227" t="n">
        <f aca="false">($B25*$B$7+$C25*$C$7)/100</f>
        <v>0.002</v>
      </c>
      <c r="G25" s="209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BRh</v>
      </c>
      <c r="H25" s="210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4</v>
      </c>
      <c r="I25" s="211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19</v>
      </c>
      <c r="J25" s="211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3</v>
      </c>
      <c r="K25" s="212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Jungermannia atrovirens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19820</v>
      </c>
      <c r="Q25" s="216" t="n">
        <f aca="false">IF(ISTEXT(H25),"",(B25*$B$7/100)+(C25*$C$7/100))</f>
        <v>0.002</v>
      </c>
      <c r="R25" s="217" t="n">
        <f aca="false">IF(OR(ISTEXT(H25),Q25=0),"",IF(Q25&lt;0.1,1,IF(Q25&lt;1,2,IF(Q25&lt;10,3,IF(Q25&lt;50,4,IF(Q25&gt;=50,5,""))))))</f>
        <v>1</v>
      </c>
      <c r="S25" s="217" t="n">
        <f aca="false">IF(ISERROR(R25*I25),0,R25*I25)</f>
        <v>19</v>
      </c>
      <c r="T25" s="217" t="n">
        <f aca="false">IF(ISERROR(R25*I25*J25),0,R25*I25*J25)</f>
        <v>57</v>
      </c>
      <c r="U25" s="229" t="n">
        <f aca="false">IF(ISERROR(R25*J25),0,R25*J25)</f>
        <v>3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IF(A25="new.cod","NEWCOD",IF(AND((Z25=""),ISTEXT(A25)),A25,IF(Z25="","",INDEX('[1]liste reference'!$A$8:$A$904,Z25))))</f>
        <v>JUGATR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101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79</v>
      </c>
      <c r="B26" s="224" t="n">
        <v>0</v>
      </c>
      <c r="C26" s="225" t="n">
        <v>0.01</v>
      </c>
      <c r="D26" s="207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Pellia endiviifolia</v>
      </c>
      <c r="E26" s="226" t="e">
        <f aca="false">IF(D26="",0,VLOOKUP(D26,D$22:D25,1,0))</f>
        <v>#N/A</v>
      </c>
      <c r="F26" s="227" t="n">
        <f aca="false">($B26*$B$7+$C26*$C$7)/100</f>
        <v>0.002</v>
      </c>
      <c r="G26" s="209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BRh</v>
      </c>
      <c r="H26" s="210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4</v>
      </c>
      <c r="I26" s="211" t="str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/>
      </c>
      <c r="J26" s="211" t="str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/>
      </c>
      <c r="K26" s="212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Pellia endiviifolia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1197</v>
      </c>
      <c r="Q26" s="216" t="n">
        <f aca="false">IF(ISTEXT(H26),"",(B26*$B$7/100)+(C26*$C$7/100))</f>
        <v>0.002</v>
      </c>
      <c r="R26" s="217" t="n">
        <f aca="false">IF(OR(ISTEXT(H26),Q26=0),"",IF(Q26&lt;0.1,1,IF(Q26&lt;1,2,IF(Q26&lt;10,3,IF(Q26&lt;50,4,IF(Q26&gt;=50,5,""))))))</f>
        <v>1</v>
      </c>
      <c r="S26" s="217" t="n">
        <f aca="false">IF(ISERROR(R26*I26),0,R26*I26)</f>
        <v>0</v>
      </c>
      <c r="T26" s="217" t="n">
        <f aca="false">IF(ISERROR(R26*I26*J26),0,R26*I26*J26)</f>
        <v>0</v>
      </c>
      <c r="U26" s="229" t="n">
        <f aca="false">IF(ISERROR(R26*J26),0,R26*J26)</f>
        <v>0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IF(A26="new.cod","NEWCOD",IF(AND((Z26=""),ISTEXT(A26)),A26,IF(Z26="","",INDEX('[1]liste reference'!$A$8:$A$904,Z26))))</f>
        <v>PELEND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120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80</v>
      </c>
      <c r="B27" s="224" t="n">
        <v>0.01</v>
      </c>
      <c r="C27" s="225" t="n">
        <v>0</v>
      </c>
      <c r="D27" s="207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Drepanocladus fluitans</v>
      </c>
      <c r="E27" s="226" t="e">
        <f aca="false">IF(D27="",0,VLOOKUP(D27,D$22:D26,1,0))</f>
        <v>#N/A</v>
      </c>
      <c r="F27" s="227" t="n">
        <f aca="false">($B27*$B$7+$C27*$C$7)/100</f>
        <v>0.008</v>
      </c>
      <c r="G27" s="209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BRm</v>
      </c>
      <c r="H27" s="210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5</v>
      </c>
      <c r="I27" s="211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14</v>
      </c>
      <c r="J27" s="211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2</v>
      </c>
      <c r="K27" s="212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Drepanocladus fluitans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25779</v>
      </c>
      <c r="Q27" s="216" t="n">
        <f aca="false">IF(ISTEXT(H27),"",(B27*$B$7/100)+(C27*$C$7/100))</f>
        <v>0.008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14</v>
      </c>
      <c r="T27" s="217" t="n">
        <f aca="false">IF(ISERROR(R27*I27*J27),0,R27*I27*J27)</f>
        <v>28</v>
      </c>
      <c r="U27" s="229" t="n">
        <f aca="false">IF(ISERROR(R27*J27),0,R27*J27)</f>
        <v>2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IF(A27="new.cod","NEWCOD",IF(AND((Z27=""),ISTEXT(A27)),A27,IF(Z27="","",INDEX('[1]liste reference'!$A$8:$A$904,Z27))))</f>
        <v>DREFLU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189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81</v>
      </c>
      <c r="B28" s="224" t="n">
        <v>0</v>
      </c>
      <c r="C28" s="225" t="n">
        <v>0.22</v>
      </c>
      <c r="D28" s="207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Eucladium verticillatum</v>
      </c>
      <c r="E28" s="226" t="e">
        <f aca="false">IF(D28="",0,VLOOKUP(D28,D$22:D27,1,0))</f>
        <v>#N/A</v>
      </c>
      <c r="F28" s="227" t="n">
        <f aca="false">($B28*$B$7+$C28*$C$7)/100</f>
        <v>0.044</v>
      </c>
      <c r="G28" s="209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BRm</v>
      </c>
      <c r="H28" s="210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5</v>
      </c>
      <c r="I28" s="211" t="str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/>
      </c>
      <c r="J28" s="211" t="str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/>
      </c>
      <c r="K28" s="212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Eucladium verticillatum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19654</v>
      </c>
      <c r="Q28" s="216" t="n">
        <f aca="false">IF(ISTEXT(H28),"",(B28*$B$7/100)+(C28*$C$7/100))</f>
        <v>0.044</v>
      </c>
      <c r="R28" s="217" t="n">
        <f aca="false">IF(OR(ISTEXT(H28),Q28=0),"",IF(Q28&lt;0.1,1,IF(Q28&lt;1,2,IF(Q28&lt;10,3,IF(Q28&lt;50,4,IF(Q28&gt;=50,5,""))))))</f>
        <v>1</v>
      </c>
      <c r="S28" s="217" t="n">
        <f aca="false">IF(ISERROR(R28*I28),0,R28*I28)</f>
        <v>0</v>
      </c>
      <c r="T28" s="217" t="n">
        <f aca="false">IF(ISERROR(R28*I28*J28),0,R28*I28*J28)</f>
        <v>0</v>
      </c>
      <c r="U28" s="229" t="n">
        <f aca="false">IF(ISERROR(R28*J28),0,R28*J28)</f>
        <v>0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IF(A28="new.cod","NEWCOD",IF(AND((Z28=""),ISTEXT(A28)),A28,IF(Z28="","",INDEX('[1]liste reference'!$A$8:$A$904,Z28))))</f>
        <v>EUCVER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191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82</v>
      </c>
      <c r="B29" s="224" t="n">
        <v>0.1</v>
      </c>
      <c r="C29" s="225" t="n">
        <v>0</v>
      </c>
      <c r="D29" s="207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Schistidium rivulare</v>
      </c>
      <c r="E29" s="226" t="e">
        <f aca="false">IF(D29="",0,VLOOKUP(D29,D$22:D28,1,0))</f>
        <v>#N/A</v>
      </c>
      <c r="F29" s="227" t="n">
        <f aca="false">($B29*$B$7+$C29*$C$7)/100</f>
        <v>0.08</v>
      </c>
      <c r="G29" s="209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BRm</v>
      </c>
      <c r="H29" s="210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5</v>
      </c>
      <c r="I29" s="211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15</v>
      </c>
      <c r="J29" s="211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3</v>
      </c>
      <c r="K29" s="212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Schistidium rivulare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1327</v>
      </c>
      <c r="Q29" s="216" t="n">
        <f aca="false">IF(ISTEXT(H29),"",(B29*$B$7/100)+(C29*$C$7/100))</f>
        <v>0.08</v>
      </c>
      <c r="R29" s="217" t="n">
        <f aca="false">IF(OR(ISTEXT(H29),Q29=0),"",IF(Q29&lt;0.1,1,IF(Q29&lt;1,2,IF(Q29&lt;10,3,IF(Q29&lt;50,4,IF(Q29&gt;=50,5,""))))))</f>
        <v>1</v>
      </c>
      <c r="S29" s="217" t="n">
        <f aca="false">IF(ISERROR(R29*I29),0,R29*I29)</f>
        <v>15</v>
      </c>
      <c r="T29" s="217" t="n">
        <f aca="false">IF(ISERROR(R29*I29*J29),0,R29*I29*J29)</f>
        <v>45</v>
      </c>
      <c r="U29" s="229" t="n">
        <f aca="false">IF(ISERROR(R29*J29),0,R29*J29)</f>
        <v>3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IF(A29="new.cod","NEWCOD",IF(AND((Z29=""),ISTEXT(A29)),A29,IF(Z29="","",INDEX('[1]liste reference'!$A$8:$A$904,Z29))))</f>
        <v>SCSRIV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255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/>
      <c r="B30" s="224"/>
      <c r="C30" s="225"/>
      <c r="D30" s="207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/>
      </c>
      <c r="E30" s="226" t="n">
        <f aca="false">IF(D30="",0,VLOOKUP(D30,D$22:D29,1,0))</f>
        <v>0</v>
      </c>
      <c r="F30" s="227" t="n">
        <f aca="false">($B30*$B$7+$C30*$C$7)/100</f>
        <v>0</v>
      </c>
      <c r="G30" s="209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/>
      </c>
      <c r="H30" s="210" t="str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x</v>
      </c>
      <c r="I30" s="211" t="str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/>
      </c>
      <c r="J30" s="211" t="str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/>
      </c>
      <c r="K30" s="212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/>
      </c>
      <c r="L30" s="228"/>
      <c r="M30" s="228"/>
      <c r="N30" s="228"/>
      <c r="O30" s="214"/>
      <c r="P30" s="215" t="str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/>
      </c>
      <c r="Q30" s="216" t="str">
        <f aca="false">IF(ISTEXT(H30),"",(B30*$B$7/100)+(C30*$C$7/100))</f>
        <v/>
      </c>
      <c r="R30" s="217" t="str">
        <f aca="false">IF(OR(ISTEXT(H30),Q30=0),"",IF(Q30&lt;0.1,1,IF(Q30&lt;1,2,IF(Q30&lt;10,3,IF(Q30&lt;50,4,IF(Q30&gt;=50,5,""))))))</f>
        <v/>
      </c>
      <c r="S30" s="217" t="n">
        <f aca="false">IF(ISERROR(R30*I30),0,R30*I30)</f>
        <v>0</v>
      </c>
      <c r="T30" s="217" t="n">
        <f aca="false">IF(ISERROR(R30*I30*J30),0,R30*I30*J30)</f>
        <v>0</v>
      </c>
      <c r="U30" s="229" t="n">
        <f aca="false">IF(ISERROR(R30*J30),0,R30*J30)</f>
        <v>0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IF(A30="new.cod","NEWCOD",IF(AND((Z30=""),ISTEXT(A30)),A30,IF(Z30="","",INDEX('[1]liste reference'!$A$8:$A$904,Z30))))</f>
        <v/>
      </c>
      <c r="Z30" s="10" t="str">
        <f aca="false">IF(ISERROR(MATCH(A30,'[1]liste reference'!$A$8:$A$904,0)),IF(ISERROR(MATCH(A30,'[1]liste reference'!$B$8:$B$904,0)),"",(MATCH(A30,'[1]liste reference'!$B$8:$B$904,0))),(MATCH(A30,'[1]liste reference'!$A$8:$A$904,0)))</f>
        <v/>
      </c>
      <c r="AA30" s="221"/>
      <c r="AB30" s="222"/>
      <c r="AC30" s="222"/>
      <c r="BB30" s="10" t="str">
        <f aca="false">IF(A30="","",1)</f>
        <v/>
      </c>
    </row>
    <row r="31" customFormat="false" ht="12.75" hidden="false" customHeight="false" outlineLevel="0" collapsed="false">
      <c r="A31" s="223"/>
      <c r="B31" s="224"/>
      <c r="C31" s="225"/>
      <c r="D31" s="207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/>
      </c>
      <c r="E31" s="226" t="n">
        <f aca="false">IF(D31="",0,VLOOKUP(D31,D$22:D30,1,0))</f>
        <v>0</v>
      </c>
      <c r="F31" s="227" t="n">
        <f aca="false">($B31*$B$7+$C31*$C$7)/100</f>
        <v>0</v>
      </c>
      <c r="G31" s="209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/>
      </c>
      <c r="H31" s="210" t="str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x</v>
      </c>
      <c r="I31" s="211" t="str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/>
      </c>
      <c r="J31" s="211" t="str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/>
      </c>
      <c r="K31" s="212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/>
      </c>
      <c r="L31" s="228"/>
      <c r="M31" s="228"/>
      <c r="N31" s="228"/>
      <c r="O31" s="214"/>
      <c r="P31" s="215" t="str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/>
      </c>
      <c r="Q31" s="216" t="str">
        <f aca="false">IF(ISTEXT(H31),"",(B31*$B$7/100)+(C31*$C$7/100))</f>
        <v/>
      </c>
      <c r="R31" s="217" t="str">
        <f aca="false">IF(OR(ISTEXT(H31),Q31=0),"",IF(Q31&lt;0.1,1,IF(Q31&lt;1,2,IF(Q31&lt;10,3,IF(Q31&lt;50,4,IF(Q31&gt;=50,5,""))))))</f>
        <v/>
      </c>
      <c r="S31" s="217" t="n">
        <f aca="false">IF(ISERROR(R31*I31),0,R31*I31)</f>
        <v>0</v>
      </c>
      <c r="T31" s="217" t="n">
        <f aca="false">IF(ISERROR(R31*I31*J31),0,R31*I31*J31)</f>
        <v>0</v>
      </c>
      <c r="U31" s="229" t="n">
        <f aca="false">IF(ISERROR(R31*J31),0,R31*J31)</f>
        <v>0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IF(A31="new.cod","NEWCOD",IF(AND((Z31=""),ISTEXT(A31)),A31,IF(Z31="","",INDEX('[1]liste reference'!$A$8:$A$904,Z31))))</f>
        <v/>
      </c>
      <c r="Z31" s="10" t="str">
        <f aca="false">IF(ISERROR(MATCH(A31,'[1]liste reference'!$A$8:$A$904,0)),IF(ISERROR(MATCH(A31,'[1]liste reference'!$B$8:$B$904,0)),"",(MATCH(A31,'[1]liste reference'!$B$8:$B$904,0))),(MATCH(A31,'[1]liste reference'!$A$8:$A$904,0)))</f>
        <v/>
      </c>
      <c r="AA31" s="221"/>
      <c r="AB31" s="222"/>
      <c r="AC31" s="222"/>
      <c r="BB31" s="10" t="str">
        <f aca="false">IF(A31="","",1)</f>
        <v/>
      </c>
    </row>
    <row r="32" customFormat="false" ht="12.75" hidden="false" customHeight="false" outlineLevel="0" collapsed="false">
      <c r="A32" s="223"/>
      <c r="B32" s="224"/>
      <c r="C32" s="225"/>
      <c r="D32" s="207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/>
      </c>
      <c r="E32" s="226" t="n">
        <f aca="false">IF(D32="",0,VLOOKUP(D32,D$22:D31,1,0))</f>
        <v>0</v>
      </c>
      <c r="F32" s="227" t="n">
        <f aca="false">($B32*$B$7+$C32*$C$7)/100</f>
        <v>0</v>
      </c>
      <c r="G32" s="209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/>
      </c>
      <c r="H32" s="210" t="str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x</v>
      </c>
      <c r="I32" s="211" t="str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/>
      </c>
      <c r="J32" s="211" t="str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/>
      </c>
      <c r="K32" s="212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/>
      </c>
      <c r="L32" s="228"/>
      <c r="M32" s="228"/>
      <c r="N32" s="228"/>
      <c r="O32" s="214"/>
      <c r="P32" s="215" t="str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/>
      </c>
      <c r="Q32" s="216" t="str">
        <f aca="false">IF(ISTEXT(H32),"",(B32*$B$7/100)+(C32*$C$7/100))</f>
        <v/>
      </c>
      <c r="R32" s="217" t="str">
        <f aca="false">IF(OR(ISTEXT(H32),Q32=0),"",IF(Q32&lt;0.1,1,IF(Q32&lt;1,2,IF(Q32&lt;10,3,IF(Q32&lt;50,4,IF(Q32&gt;=50,5,""))))))</f>
        <v/>
      </c>
      <c r="S32" s="217" t="n">
        <f aca="false">IF(ISERROR(R32*I32),0,R32*I32)</f>
        <v>0</v>
      </c>
      <c r="T32" s="217" t="n">
        <f aca="false">IF(ISERROR(R32*I32*J32),0,R32*I32*J32)</f>
        <v>0</v>
      </c>
      <c r="U32" s="229" t="n">
        <f aca="false">IF(ISERROR(R32*J32),0,R32*J32)</f>
        <v>0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IF(A32="new.cod","NEWCOD",IF(AND((Z32=""),ISTEXT(A32)),A32,IF(Z32="","",INDEX('[1]liste reference'!$A$8:$A$904,Z32))))</f>
        <v/>
      </c>
      <c r="Z32" s="10" t="str">
        <f aca="false">IF(ISERROR(MATCH(A32,'[1]liste reference'!$A$8:$A$904,0)),IF(ISERROR(MATCH(A32,'[1]liste reference'!$B$8:$B$904,0)),"",(MATCH(A32,'[1]liste reference'!$B$8:$B$904,0))),(MATCH(A32,'[1]liste reference'!$A$8:$A$904,0)))</f>
        <v/>
      </c>
      <c r="AA32" s="221"/>
      <c r="AB32" s="222"/>
      <c r="AC32" s="222"/>
      <c r="BB32" s="10" t="str">
        <f aca="false">IF(A32="","",1)</f>
        <v/>
      </c>
    </row>
    <row r="33" customFormat="false" ht="12.75" hidden="false" customHeight="false" outlineLevel="0" collapsed="false">
      <c r="A33" s="223"/>
      <c r="B33" s="224"/>
      <c r="C33" s="225"/>
      <c r="D33" s="207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/>
      </c>
      <c r="E33" s="226" t="n">
        <f aca="false">IF(D33="",0,VLOOKUP(D33,D$22:D32,1,0))</f>
        <v>0</v>
      </c>
      <c r="F33" s="227" t="n">
        <f aca="false">($B33*$B$7+$C33*$C$7)/100</f>
        <v>0</v>
      </c>
      <c r="G33" s="209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/>
      </c>
      <c r="H33" s="210" t="str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x</v>
      </c>
      <c r="I33" s="211" t="str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/>
      </c>
      <c r="J33" s="211" t="str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/>
      </c>
      <c r="K33" s="212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/>
      </c>
      <c r="L33" s="228"/>
      <c r="M33" s="228"/>
      <c r="N33" s="228"/>
      <c r="O33" s="214"/>
      <c r="P33" s="215" t="str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/>
      </c>
      <c r="Q33" s="216" t="str">
        <f aca="false">IF(ISTEXT(H33),"",(B33*$B$7/100)+(C33*$C$7/100))</f>
        <v/>
      </c>
      <c r="R33" s="217" t="str">
        <f aca="false">IF(OR(ISTEXT(H33),Q33=0),"",IF(Q33&lt;0.1,1,IF(Q33&lt;1,2,IF(Q33&lt;10,3,IF(Q33&lt;50,4,IF(Q33&gt;=50,5,""))))))</f>
        <v/>
      </c>
      <c r="S33" s="217" t="n">
        <f aca="false">IF(ISERROR(R33*I33),0,R33*I33)</f>
        <v>0</v>
      </c>
      <c r="T33" s="217" t="n">
        <f aca="false">IF(ISERROR(R33*I33*J33),0,R33*I33*J33)</f>
        <v>0</v>
      </c>
      <c r="U33" s="229" t="n">
        <f aca="false">IF(ISERROR(R33*J33),0,R33*J33)</f>
        <v>0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IF(A33="new.cod","NEWCOD",IF(AND((Z33=""),ISTEXT(A33)),A33,IF(Z33="","",INDEX('[1]liste reference'!$A$8:$A$904,Z33))))</f>
        <v/>
      </c>
      <c r="Z33" s="10" t="str">
        <f aca="false">IF(ISERROR(MATCH(A33,'[1]liste reference'!$A$8:$A$904,0)),IF(ISERROR(MATCH(A33,'[1]liste reference'!$B$8:$B$904,0)),"",(MATCH(A33,'[1]liste reference'!$B$8:$B$904,0))),(MATCH(A33,'[1]liste reference'!$A$8:$A$904,0)))</f>
        <v/>
      </c>
      <c r="AA33" s="221"/>
      <c r="AB33" s="222"/>
      <c r="AC33" s="222"/>
      <c r="BB33" s="10" t="str">
        <f aca="false">IF(A33="","",1)</f>
        <v/>
      </c>
    </row>
    <row r="34" customFormat="false" ht="12.75" hidden="false" customHeight="false" outlineLevel="0" collapsed="false">
      <c r="A34" s="223"/>
      <c r="B34" s="224"/>
      <c r="C34" s="225"/>
      <c r="D34" s="207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/>
      </c>
      <c r="E34" s="226" t="n">
        <f aca="false">IF(D34="",0,VLOOKUP(D34,D$22:D33,1,0))</f>
        <v>0</v>
      </c>
      <c r="F34" s="231" t="n">
        <f aca="false">($B34*$B$7+$C34*$C$7)/100</f>
        <v>0</v>
      </c>
      <c r="G34" s="209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/>
      </c>
      <c r="H34" s="210" t="str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x</v>
      </c>
      <c r="I34" s="211" t="str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/>
      </c>
      <c r="J34" s="211" t="str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/>
      </c>
      <c r="K34" s="212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/>
      </c>
      <c r="L34" s="228"/>
      <c r="M34" s="228"/>
      <c r="N34" s="228"/>
      <c r="O34" s="214"/>
      <c r="P34" s="215" t="str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/>
      </c>
      <c r="Q34" s="216" t="str">
        <f aca="false">IF(ISTEXT(H34),"",(B34*$B$7/100)+(C34*$C$7/100))</f>
        <v/>
      </c>
      <c r="R34" s="217" t="str">
        <f aca="false">IF(OR(ISTEXT(H34),Q34=0),"",IF(Q34&lt;0.1,1,IF(Q34&lt;1,2,IF(Q34&lt;10,3,IF(Q34&lt;50,4,IF(Q34&gt;=50,5,""))))))</f>
        <v/>
      </c>
      <c r="S34" s="217" t="n">
        <f aca="false">IF(ISERROR(R34*I34),0,R34*I34)</f>
        <v>0</v>
      </c>
      <c r="T34" s="217" t="n">
        <f aca="false">IF(ISERROR(R34*I34*J34),0,R34*I34*J34)</f>
        <v>0</v>
      </c>
      <c r="U34" s="229" t="n">
        <f aca="false">IF(ISERROR(R34*J34),0,R34*J34)</f>
        <v>0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IF(A34="new.cod","NEWCOD",IF(AND((Z34=""),ISTEXT(A34)),A34,IF(Z34="","",INDEX('[1]liste reference'!$A$8:$A$904,Z34))))</f>
        <v/>
      </c>
      <c r="Z34" s="10" t="str">
        <f aca="false">IF(ISERROR(MATCH(A34,'[1]liste reference'!$A$8:$A$904,0)),IF(ISERROR(MATCH(A34,'[1]liste reference'!$B$8:$B$904,0)),"",(MATCH(A34,'[1]liste reference'!$B$8:$B$904,0))),(MATCH(A34,'[1]liste reference'!$A$8:$A$904,0)))</f>
        <v/>
      </c>
      <c r="AA34" s="221"/>
      <c r="AB34" s="222"/>
      <c r="AC34" s="222"/>
      <c r="BB34" s="10" t="str">
        <f aca="false">IF(A34="","",1)</f>
        <v/>
      </c>
    </row>
    <row r="35" customFormat="false" ht="12.75" hidden="false" customHeight="false" outlineLevel="0" collapsed="false">
      <c r="A35" s="223"/>
      <c r="B35" s="224"/>
      <c r="C35" s="225"/>
      <c r="D35" s="207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/>
      </c>
      <c r="E35" s="226" t="n">
        <f aca="false">IF(D35="",0,VLOOKUP(D35,D$22:D34,1,0))</f>
        <v>0</v>
      </c>
      <c r="F35" s="231" t="n">
        <f aca="false">($B35*$B$7+$C35*$C$7)/100</f>
        <v>0</v>
      </c>
      <c r="G35" s="209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/>
      </c>
      <c r="H35" s="210" t="str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x</v>
      </c>
      <c r="I35" s="211" t="str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/>
      </c>
      <c r="J35" s="211" t="str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/>
      </c>
      <c r="K35" s="212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/>
      </c>
      <c r="L35" s="228"/>
      <c r="M35" s="228"/>
      <c r="N35" s="228"/>
      <c r="O35" s="214"/>
      <c r="P35" s="215" t="str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/>
      </c>
      <c r="Q35" s="216" t="str">
        <f aca="false">IF(ISTEXT(H35),"",(B35*$B$7/100)+(C35*$C$7/100))</f>
        <v/>
      </c>
      <c r="R35" s="217" t="str">
        <f aca="false">IF(OR(ISTEXT(H35),Q35=0),"",IF(Q35&lt;0.1,1,IF(Q35&lt;1,2,IF(Q35&lt;10,3,IF(Q35&lt;50,4,IF(Q35&gt;=50,5,""))))))</f>
        <v/>
      </c>
      <c r="S35" s="217" t="n">
        <f aca="false">IF(ISERROR(R35*I35),0,R35*I35)</f>
        <v>0</v>
      </c>
      <c r="T35" s="217" t="n">
        <f aca="false">IF(ISERROR(R35*I35*J35),0,R35*I35*J35)</f>
        <v>0</v>
      </c>
      <c r="U35" s="229" t="n">
        <f aca="false">IF(ISERROR(R35*J35),0,R35*J35)</f>
        <v>0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IF(A35="new.cod","NEWCOD",IF(AND((Z35=""),ISTEXT(A35)),A35,IF(Z35="","",INDEX('[1]liste reference'!$A$8:$A$904,Z35))))</f>
        <v/>
      </c>
      <c r="Z35" s="10" t="str">
        <f aca="false">IF(ISERROR(MATCH(A35,'[1]liste reference'!$A$8:$A$904,0)),IF(ISERROR(MATCH(A35,'[1]liste reference'!$B$8:$B$904,0)),"",(MATCH(A35,'[1]liste reference'!$B$8:$B$904,0))),(MATCH(A35,'[1]liste reference'!$A$8:$A$904,0)))</f>
        <v/>
      </c>
      <c r="AA35" s="221"/>
      <c r="AB35" s="222"/>
      <c r="AC35" s="222"/>
      <c r="BB35" s="10" t="str">
        <f aca="false">IF(A35="","",1)</f>
        <v/>
      </c>
    </row>
    <row r="36" customFormat="false" ht="12.75" hidden="false" customHeight="false" outlineLevel="0" collapsed="false">
      <c r="A36" s="223"/>
      <c r="B36" s="224"/>
      <c r="C36" s="225"/>
      <c r="D36" s="207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/>
      </c>
      <c r="E36" s="226" t="n">
        <f aca="false">IF(D36="",0,VLOOKUP(D36,D$22:D35,1,0))</f>
        <v>0</v>
      </c>
      <c r="F36" s="231" t="n">
        <f aca="false">($B36*$B$7+$C36*$C$7)/100</f>
        <v>0</v>
      </c>
      <c r="G36" s="209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/>
      </c>
      <c r="H36" s="210" t="str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x</v>
      </c>
      <c r="I36" s="211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1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2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/>
      </c>
      <c r="L36" s="228"/>
      <c r="M36" s="228"/>
      <c r="N36" s="228"/>
      <c r="O36" s="214"/>
      <c r="P36" s="215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/>
      </c>
      <c r="Q36" s="216" t="str">
        <f aca="false">IF(ISTEXT(H36),"",(B36*$B$7/100)+(C36*$C$7/100))</f>
        <v/>
      </c>
      <c r="R36" s="217" t="str">
        <f aca="false">IF(OR(ISTEXT(H36),Q36=0),"",IF(Q36&lt;0.1,1,IF(Q36&lt;1,2,IF(Q36&lt;10,3,IF(Q36&lt;50,4,IF(Q36&gt;=50,5,""))))))</f>
        <v/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IF(A36="new.cod","NEWCOD",IF(AND((Z36=""),ISTEXT(A36)),A36,IF(Z36="","",INDEX('[1]liste reference'!$A$8:$A$904,Z36))))</f>
        <v/>
      </c>
      <c r="Z36" s="10" t="str">
        <f aca="false">IF(ISERROR(MATCH(A36,'[1]liste reference'!$A$8:$A$904,0)),IF(ISERROR(MATCH(A36,'[1]liste reference'!$B$8:$B$904,0)),"",(MATCH(A36,'[1]liste reference'!$B$8:$B$904,0))),(MATCH(A36,'[1]liste reference'!$A$8:$A$904,0)))</f>
        <v/>
      </c>
      <c r="AA36" s="221"/>
      <c r="AB36" s="222"/>
      <c r="AC36" s="222"/>
      <c r="BB36" s="10" t="str">
        <f aca="false">IF(A36="","",1)</f>
        <v/>
      </c>
    </row>
    <row r="37" customFormat="false" ht="12.75" hidden="false" customHeight="false" outlineLevel="0" collapsed="false">
      <c r="A37" s="223"/>
      <c r="B37" s="224"/>
      <c r="C37" s="225"/>
      <c r="D37" s="207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/>
      </c>
      <c r="E37" s="226" t="n">
        <f aca="false">IF(D37="",0,VLOOKUP(D37,D$22:D36,1,0))</f>
        <v>0</v>
      </c>
      <c r="F37" s="231" t="n">
        <f aca="false">($B37*$B$7+$C37*$C$7)/100</f>
        <v>0</v>
      </c>
      <c r="G37" s="209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/>
      </c>
      <c r="H37" s="210" t="str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x</v>
      </c>
      <c r="I37" s="211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1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2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/>
      </c>
      <c r="L37" s="228"/>
      <c r="M37" s="228"/>
      <c r="N37" s="228"/>
      <c r="O37" s="214"/>
      <c r="P37" s="215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/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IF(A37="new.cod","NEWCOD",IF(AND((Z37=""),ISTEXT(A37)),A37,IF(Z37="","",INDEX('[1]liste reference'!$A$8:$A$904,Z37))))</f>
        <v/>
      </c>
      <c r="Z37" s="10" t="str">
        <f aca="false">IF(ISERROR(MATCH(A37,'[1]liste reference'!$A$8:$A$904,0)),IF(ISERROR(MATCH(A37,'[1]liste reference'!$B$8:$B$904,0)),"",(MATCH(A37,'[1]liste reference'!$B$8:$B$904,0))),(MATCH(A37,'[1]liste reference'!$A$8:$A$904,0)))</f>
        <v/>
      </c>
      <c r="AA37" s="221"/>
      <c r="AB37" s="222"/>
      <c r="AC37" s="222"/>
      <c r="BB37" s="10" t="str">
        <f aca="false">IF(A37="","",1)</f>
        <v/>
      </c>
    </row>
    <row r="38" customFormat="false" ht="12.75" hidden="false" customHeight="false" outlineLevel="0" collapsed="false">
      <c r="A38" s="223"/>
      <c r="B38" s="224"/>
      <c r="C38" s="225"/>
      <c r="D38" s="207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26" t="n">
        <f aca="false">IF(D38="",0,VLOOKUP(D38,D$22:D37,1,0))</f>
        <v>0</v>
      </c>
      <c r="F38" s="231" t="n">
        <f aca="false">($B38*$B$7+$C38*$C$7)/100</f>
        <v>0</v>
      </c>
      <c r="G38" s="209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/>
      </c>
      <c r="H38" s="210" t="str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x</v>
      </c>
      <c r="I38" s="211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1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2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/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IF(A38="new.cod","NEWCOD",IF(AND((Z38=""),ISTEXT(A38)),A38,IF(Z38="","",INDEX('[1]liste reference'!$A$8:$A$904,Z38))))</f>
        <v/>
      </c>
      <c r="Z38" s="10" t="str">
        <f aca="false">IF(ISERROR(MATCH(A38,'[1]liste reference'!$A$8:$A$904,0)),IF(ISERROR(MATCH(A38,'[1]liste reference'!$B$8:$B$904,0)),"",(MATCH(A38,'[1]liste reference'!$B$8:$B$904,0))),(MATCH(A38,'[1]liste reference'!$A$8:$A$904,0)))</f>
        <v/>
      </c>
      <c r="AA38" s="221"/>
      <c r="AB38" s="222"/>
      <c r="AC38" s="222"/>
      <c r="BB38" s="10" t="str">
        <f aca="false">IF(A38="","",1)</f>
        <v/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/>
      </c>
      <c r="H39" s="210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1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1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2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IF(A39="new.cod","NEWCOD",IF(AND((Z39=""),ISTEXT(A39)),A39,IF(Z39="","",INDEX('[1]liste reference'!$A$8:$A$904,Z39))))</f>
        <v/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10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1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1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2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10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1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1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2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10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1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1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2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10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1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1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2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10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1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1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2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10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1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1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2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10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1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1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2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10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1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1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2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10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1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1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2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10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1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1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2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10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1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1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2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10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1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1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2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10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1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1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2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10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1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1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2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10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1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1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2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10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1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1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2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10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1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1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2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10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1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1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2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10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1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1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2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10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1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1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2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10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1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1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2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10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1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1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2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10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1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1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2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6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1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1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2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8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1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1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2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8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1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1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2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8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1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1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2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8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1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1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2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8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1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1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2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8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1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1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2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8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1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1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2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8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1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1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2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8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1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1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2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8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1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1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2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8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1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1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2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8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1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1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2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8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1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1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2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8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1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1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2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8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1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1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2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8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1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1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2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8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1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1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2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8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1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1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2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7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1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1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8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83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Establet</v>
      </c>
      <c r="B84" s="259" t="str">
        <f aca="false">C3</f>
        <v>Establet à la Charce</v>
      </c>
      <c r="C84" s="260" t="n">
        <f aca="false">A4</f>
        <v>41444</v>
      </c>
      <c r="D84" s="261" t="n">
        <f aca="false">IF(ISERROR(SUM($T$23:$T$82)/SUM($U$23:$U$82)),"",SUM($T$23:$T$82)/SUM($U$23:$U$82))</f>
        <v>15.6</v>
      </c>
      <c r="E84" s="262" t="n">
        <f aca="false">N13</f>
        <v>7</v>
      </c>
      <c r="F84" s="259" t="n">
        <f aca="false">N14</f>
        <v>4</v>
      </c>
      <c r="G84" s="259" t="n">
        <f aca="false">N15</f>
        <v>0</v>
      </c>
      <c r="H84" s="259" t="n">
        <f aca="false">N16</f>
        <v>2</v>
      </c>
      <c r="I84" s="259" t="n">
        <f aca="false">N17</f>
        <v>2</v>
      </c>
      <c r="J84" s="263" t="n">
        <f aca="false">N8</f>
        <v>15.25</v>
      </c>
      <c r="K84" s="261" t="n">
        <f aca="false">N9</f>
        <v>2.27760839478608</v>
      </c>
      <c r="L84" s="262" t="n">
        <f aca="false">N10</f>
        <v>13</v>
      </c>
      <c r="M84" s="262" t="n">
        <f aca="false">N11</f>
        <v>19</v>
      </c>
      <c r="N84" s="261" t="n">
        <f aca="false">O8</f>
        <v>2.5</v>
      </c>
      <c r="O84" s="261" t="n">
        <f aca="false">O9</f>
        <v>0.5</v>
      </c>
      <c r="P84" s="262" t="n">
        <f aca="false">O10</f>
        <v>2</v>
      </c>
      <c r="Q84" s="262" t="n">
        <f aca="false">O11</f>
        <v>3</v>
      </c>
      <c r="R84" s="262" t="n">
        <f aca="false">F21</f>
        <v>0.334</v>
      </c>
      <c r="S84" s="262" t="n">
        <f aca="false">K11</f>
        <v>0</v>
      </c>
      <c r="T84" s="262" t="n">
        <f aca="false">K12</f>
        <v>2</v>
      </c>
      <c r="U84" s="262" t="n">
        <f aca="false">K13</f>
        <v>5</v>
      </c>
      <c r="V84" s="264" t="n">
        <f aca="false">K14</f>
        <v>0</v>
      </c>
      <c r="W84" s="265" t="n">
        <f aca="false">K15</f>
        <v>0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84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85</v>
      </c>
      <c r="R87" s="10"/>
      <c r="S87" s="218" t="n">
        <f aca="false">VLOOKUP(MAX($S$23:$S$82),($S$23:$U$82),1,0)</f>
        <v>19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86</v>
      </c>
      <c r="R88" s="10"/>
      <c r="S88" s="218" t="n">
        <f aca="false">VLOOKUP((S87),($S$23:$U$82),2,0)</f>
        <v>57</v>
      </c>
      <c r="T88" s="10"/>
      <c r="U88" s="10"/>
      <c r="V88" s="10"/>
    </row>
    <row r="89" customFormat="false" ht="12.75" hidden="true" customHeight="false" outlineLevel="0" collapsed="false">
      <c r="Q89" s="10" t="s">
        <v>87</v>
      </c>
      <c r="R89" s="10"/>
      <c r="S89" s="218" t="n">
        <f aca="false">VLOOKUP((S87),($S$23:$U$82),3,0)</f>
        <v>3</v>
      </c>
      <c r="T89" s="10"/>
    </row>
    <row r="90" customFormat="false" ht="12.75" hidden="false" customHeight="false" outlineLevel="0" collapsed="false">
      <c r="Q90" s="10" t="s">
        <v>88</v>
      </c>
      <c r="R90" s="10"/>
      <c r="S90" s="268" t="n">
        <f aca="false">IF(ISERROR(SUM($T$23:$T$82)/SUM($U$23:$U$82)),"",(SUM($T$23:$T$82)-S88)/(SUM($U$23:$U$82)-S89))</f>
        <v>14.1428571428571</v>
      </c>
      <c r="T90" s="10"/>
    </row>
    <row r="91" customFormat="false" ht="12.75" hidden="false" customHeight="false" outlineLevel="0" collapsed="false">
      <c r="Q91" s="217" t="s">
        <v>89</v>
      </c>
      <c r="R91" s="217"/>
      <c r="S91" s="217" t="str">
        <f aca="false">INDEX('[1]liste reference'!$A$8:$A$904,$T$91)</f>
        <v>JUGATR</v>
      </c>
      <c r="T91" s="10" t="n">
        <f aca="false">IF(ISERROR(MATCH($S$93,'[1]liste reference'!$A$8:$A$904,0)),MATCH($S$93,'[1]liste reference'!$B$8:$B$904,0),(MATCH($S$93,'[1]liste reference'!$A$8:$A$904,0)))</f>
        <v>101</v>
      </c>
      <c r="U91" s="257"/>
    </row>
    <row r="92" customFormat="false" ht="12.75" hidden="false" customHeight="false" outlineLevel="0" collapsed="false">
      <c r="Q92" s="10" t="s">
        <v>90</v>
      </c>
      <c r="R92" s="10"/>
      <c r="S92" s="10" t="n">
        <f aca="false">MATCH(S87,$S$23:$S$82,0)</f>
        <v>3</v>
      </c>
      <c r="T92" s="10"/>
    </row>
    <row r="93" customFormat="false" ht="12.75" hidden="false" customHeight="false" outlineLevel="0" collapsed="false">
      <c r="Q93" s="217" t="s">
        <v>91</v>
      </c>
      <c r="R93" s="10"/>
      <c r="S93" s="217" t="str">
        <f aca="false">INDEX($A$23:$A$82,$S$92)</f>
        <v>JUGATR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2013-12-16T17:31:18Z</dcterms:created>
  <dc:creator>Laurent Bourgoin</dc:creator>
  <dc:description/>
  <dc:language>fr-FR</dc:language>
  <cp:lastModifiedBy>Laurent Bourgoin</cp:lastModifiedBy>
  <dcterms:modified xsi:type="dcterms:W3CDTF">2013-12-16T17:31:28Z</dcterms:modified>
  <cp:revision>0</cp:revision>
  <dc:subject/>
  <dc:title/>
</cp:coreProperties>
</file>