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.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10"/>
            <rFont val="Arial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0</xdr:row>
                <xdr:rowOff>8</xdr:rowOff>
              </xdr:from>
              <xdr:to>
                <xdr:col>8</xdr:col>
                <xdr:colOff>7</xdr:colOff>
                <xdr:row>3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10"/>
            <rFont val="Arial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10"/>
            <rFont val="Arial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2</xdr:row>
                <xdr:rowOff>5</xdr:rowOff>
              </xdr:from>
              <xdr:to>
                <xdr:col>5</xdr:col>
                <xdr:colOff>2</xdr:colOff>
                <xdr:row>3</xdr:row>
                <xdr:rowOff>11</xdr:rowOff>
              </xdr:to>
            </anchor>
          </commentPr>
        </mc:Choice>
        <mc:Fallback/>
      </mc:AlternateContent>
    </comment>
    <comment ref="B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5</xdr:rowOff>
              </xdr:from>
              <xdr:to>
                <xdr:col>5</xdr:col>
                <xdr:colOff>17</xdr:colOff>
                <xdr:row>9</xdr:row>
                <xdr:rowOff>11</xdr:rowOff>
              </xdr:to>
            </anchor>
          </commentPr>
        </mc:Choice>
        <mc:Fallback/>
      </mc:AlternateContent>
    </comment>
    <comment ref="B7" authorId="0">
      <text>
        <r>
          <rPr>
            <sz val="10"/>
            <rFont val="Arial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17</xdr:rowOff>
              </xdr:from>
              <xdr:to>
                <xdr:col>6</xdr:col>
                <xdr:colOff>20</xdr:colOff>
                <xdr:row>7</xdr:row>
                <xdr:rowOff>1</xdr:rowOff>
              </xdr:to>
            </anchor>
          </commentPr>
        </mc:Choice>
        <mc:Fallback/>
      </mc:AlternateContent>
    </comment>
    <comment ref="C2" authorId="0">
      <text>
        <r>
          <rPr>
            <sz val="10"/>
            <rFont val="Arial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8</xdr:rowOff>
              </xdr:from>
              <xdr:to>
                <xdr:col>9</xdr:col>
                <xdr:colOff>7</xdr:colOff>
                <xdr:row>3</xdr:row>
                <xdr:rowOff>8</xdr:rowOff>
              </xdr:to>
            </anchor>
          </commentPr>
        </mc:Choice>
        <mc:Fallback/>
      </mc:AlternateContent>
    </comment>
    <comment ref="C3" authorId="0">
      <text>
        <r>
          <rPr>
            <sz val="10"/>
            <rFont val="Arial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8</xdr:colOff>
                <xdr:row>11</xdr:row>
                <xdr:rowOff>14</xdr:rowOff>
              </xdr:to>
            </anchor>
          </commentPr>
        </mc:Choice>
        <mc:Fallback/>
      </mc:AlternateContent>
    </comment>
    <comment ref="C7" authorId="0">
      <text>
        <r>
          <rPr>
            <sz val="10"/>
            <rFont val="Arial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10</xdr:colOff>
                <xdr:row>8</xdr:row>
                <xdr:rowOff>4</xdr:rowOff>
              </xdr:to>
            </anchor>
          </commentPr>
        </mc:Choice>
        <mc:Fallback/>
      </mc:AlternateContent>
    </comment>
    <comment ref="K3" authorId="0">
      <text>
        <r>
          <rPr>
            <sz val="10"/>
            <rFont val="Arial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56</xdr:colOff>
                <xdr:row>1</xdr:row>
                <xdr:rowOff>6</xdr:rowOff>
              </xdr:from>
              <xdr:to>
                <xdr:col>12</xdr:col>
                <xdr:colOff>42</xdr:colOff>
                <xdr:row>6</xdr:row>
                <xdr:rowOff>1</xdr:rowOff>
              </xdr:to>
            </anchor>
          </commentPr>
        </mc:Choice>
        <mc:Fallback/>
      </mc:AlternateContent>
    </comment>
    <comment ref="M3" authorId="0">
      <text>
        <r>
          <rPr>
            <sz val="10"/>
            <rFont val="Arial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41</xdr:colOff>
                <xdr:row>1</xdr:row>
                <xdr:rowOff>6</xdr:rowOff>
              </xdr:from>
              <xdr:to>
                <xdr:col>14</xdr:col>
                <xdr:colOff>31</xdr:colOff>
                <xdr:row>3</xdr:row>
                <xdr:rowOff>10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<sst xmlns="http://schemas.openxmlformats.org/spreadsheetml/2006/main" count="104" uniqueCount="96">
  <si>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</si>
  <si>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</si>
  <si>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</si>
  <si>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L.BOURGOIN C.BERNARD</t>
  </si>
  <si>
    <t xml:space="preserve">conforme AFNOR T90-395 oct. 2003</t>
  </si>
  <si>
    <t xml:space="preserve">Eygues</t>
  </si>
  <si>
    <t xml:space="preserve">Eygues à Nyons</t>
  </si>
  <si>
    <t xml:space="preserve">06116720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</si>
  <si>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</si>
  <si>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</si>
  <si>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</si>
  <si>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</si>
  <si>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</si>
  <si>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</si>
  <si>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</si>
  <si>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</si>
  <si>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VERANA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</si>
  <si>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</si>
  <si>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</si>
  <si>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</si>
  <si>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</si>
  <si>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fort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</si>
  <si>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</si>
  <si>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</si>
  <si>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</si>
  <si>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</si>
  <si>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</si>
  <si>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</si>
  <si>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</si>
  <si>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</si>
  <si>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</si>
  <si>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</si>
  <si>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</si>
  <si>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</si>
  <si>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</si>
  <si>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</si>
  <si>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</si>
  <si>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</si>
  <si>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</si>
  <si>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</si>
  <si>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</si>
  <si>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</si>
  <si>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</si>
  <si>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</si>
  <si>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</si>
  <si>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</si>
  <si>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</si>
  <si>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</si>
  <si>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</si>
  <si>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</si>
  <si>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</si>
  <si>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</si>
  <si>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</si>
  <si>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</si>
  <si>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</si>
  <si>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  <charset val="1"/>
      </rPr>
      <t xml:space="preserve">LISTE </t>
    </r>
    <r>
      <rPr>
        <i val="true"/>
        <sz val="10"/>
        <rFont val="Arial"/>
        <family val="2"/>
        <charset val="1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</si>
  <si>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</si>
  <si>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</si>
  <si>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</si>
  <si>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</si>
  <si>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</si>
  <si>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</si>
  <si>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</si>
  <si>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</si>
  <si>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</si>
  <si>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</si>
  <si>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</si>
  <si>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</si>
  <si>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</si>
  <si>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</si>
  <si>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</si>
  <si>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</si>
  <si>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</si>
  <si>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</si>
  <si>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</si>
  <si>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</si>
  <si>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</si>
  <si>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</si>
  <si>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</si>
  <si>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TOYSPX</t>
  </si>
  <si>
    <t xml:space="preserve">BRYSPX</t>
  </si>
  <si>
    <t xml:space="preserve">PHRAUS</t>
  </si>
  <si>
    <t xml:space="preserve">newcod</t>
  </si>
  <si>
    <t xml:space="preserve">Salix elaeagnos </t>
  </si>
  <si>
    <t xml:space="preserve">Salix purpurea</t>
  </si>
  <si>
    <t xml:space="preserve">Populus canescens</t>
  </si>
  <si>
    <t xml:space="preserve">Alnus incana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</si>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</sst>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5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sz val="8"/>
      <color rgb="FF0000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  <font>
      <sz val="10"/>
      <name val="Arial"/>
      <family val="2"/>
    </font>
    <font>
      <b val="true"/>
      <sz val="8"/>
      <color rgb="FF0000FF"/>
      <name val="Arial"/>
      <family val="0"/>
    </font>
    <font>
      <b val="true"/>
      <sz val="8"/>
      <color rgb="FFFF0000"/>
      <name val="Arial"/>
      <family val="0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31">
    <dxf>
      <fill>
        <patternFill patternType="solid">
          <fgColor rgb="FFCCFFFF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FFFF99"/>
          <bgColor rgb="FF000000"/>
        </patternFill>
      </fill>
    </dxf>
    <dxf>
      <fill>
        <patternFill patternType="solid">
          <fgColor rgb="FFC0C0C0"/>
          <bgColor rgb="FF000000"/>
        </patternFill>
      </fill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  <fill>
        <patternFill>
          <bgColor theme="0" tint="-0.25"/>
        </patternFill>
      </fill>
    </dxf>
    <dxf>
      <font>
        <color rgb="FFFF0000"/>
      </font>
    </dxf>
    <dxf>
      <font>
        <color rgb="FFC0C0C0"/>
      </font>
    </dxf>
    <dxf>
      <font>
        <color rgb="FFFF0000"/>
      </font>
    </dxf>
    <dxf>
      <font>
        <b val="0"/>
        <i val="0"/>
        <color rgb="FF339966"/>
      </font>
    </dxf>
    <dxf>
      <font>
        <color rgb="FF80808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Affichage" descr="Liste tax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Liste taxa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Retournotice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Newfeuille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Recapitu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Calcul" descr="Calcul 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Calcul 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robust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Trinom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Trigroupe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TriCSi" descr="Tri CSi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CSi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TriEi" descr="Tri Ei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Ei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ajout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xdr:twoCellAnchor editAs="absolute">
    <xdr:from>
      <xdr:col>22</xdr:col>
      <xdr:colOff>409680</xdr:colOff>
      <xdr:row>89</xdr:row>
      <xdr:rowOff>82080</xdr:rowOff>
    </xdr:from>
    <xdr:to>
      <xdr:col>23</xdr:col>
      <xdr:colOff>295560</xdr:colOff>
      <xdr:row>89</xdr:row>
      <xdr:rowOff>82080</xdr:rowOff>
    </xdr:to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ArchivageSandre" descr="Archivage avec cd Sandr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Archivage avec cd Sandre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ArchivageSansCdSandre" descr="Archivage sans cd Sandr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Archivage sans cd Sandre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EYNYO_18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false" showRowColHeaders="fals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W20" activeCellId="0" sqref="W20"/>
    </sheetView>
  </sheetViews>
  <sheetFormatPr defaultColWidth="11.42578125" defaultRowHeight="12.7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1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2" width="3.15"/>
    <col collapsed="false" customWidth="true" hidden="false" outlineLevel="0" max="9" min="9" style="1" width="4.29"/>
    <col collapsed="false" customWidth="true" hidden="false" outlineLevel="0" max="10" min="10" style="1" width="3.57"/>
    <col collapsed="false" customWidth="true" hidden="false" outlineLevel="0" max="11" min="11" style="1" width="9"/>
    <col collapsed="false" customWidth="true" hidden="false" outlineLevel="0" max="12" min="12" style="1" width="8"/>
    <col collapsed="false" customWidth="true" hidden="false" outlineLevel="0" max="13" min="13" style="1" width="8.71"/>
    <col collapsed="false" customWidth="true" hidden="false" outlineLevel="0" max="14" min="14" style="1" width="8.57"/>
    <col collapsed="false" customWidth="true" hidden="false" outlineLevel="0" max="15" min="15" style="1" width="8.86"/>
    <col collapsed="false" customWidth="true" hidden="false" outlineLevel="0" max="16" min="16" style="2" width="10.42"/>
    <col collapsed="false" customWidth="true" hidden="true" outlineLevel="0" max="18" min="17" style="2" width="8.71"/>
    <col collapsed="false" customWidth="true" hidden="true" outlineLevel="0" max="19" min="19" style="2" width="7"/>
    <col collapsed="false" customWidth="true" hidden="true" outlineLevel="0" max="20" min="20" style="2" width="4.86"/>
    <col collapsed="false" customWidth="true" hidden="true" outlineLevel="0" max="21" min="21" style="2" width="17.42"/>
    <col collapsed="false" customWidth="true" hidden="true" outlineLevel="0" max="22" min="22" style="2" width="11.29"/>
    <col collapsed="false" customWidth="true" hidden="false" outlineLevel="0" max="23" min="23" style="1" width="23.86"/>
    <col collapsed="false" customWidth="true" hidden="false" outlineLevel="0" max="24" min="24" style="1" width="18"/>
    <col collapsed="false" customWidth="false" hidden="true" outlineLevel="0" max="25" min="25" style="1" width="11.43"/>
    <col collapsed="false" customWidth="true" hidden="true" outlineLevel="0" max="26" min="26" style="1" width="8.15"/>
    <col collapsed="false" customWidth="true" hidden="false" outlineLevel="0" max="27" min="27" style="2" width="6.29"/>
    <col collapsed="false" customWidth="true" hidden="false" outlineLevel="0" max="28" min="28" style="1" width="34.14"/>
    <col collapsed="false" customWidth="true" hidden="false" outlineLevel="0" max="29" min="29" style="1" width="25.29"/>
    <col collapsed="false" customWidth="false" hidden="false" outlineLevel="0" max="16384" min="30" style="1" width="11.43"/>
  </cols>
  <sheetData>
    <row r="1" customFormat="false" ht="13.8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2.7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2.75" hidden="false" customHeight="false" outlineLevel="0" collapsed="false">
      <c r="A4" s="33" t="n">
        <v>41443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9.2</v>
      </c>
      <c r="M5" s="53"/>
      <c r="N5" s="54" t="s">
        <v>16</v>
      </c>
      <c r="O5" s="55" t="n">
        <v>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2.7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8.66666666666667</v>
      </c>
      <c r="O8" s="84" t="n">
        <f aca="false">IF(ISERROR(AVERAGE(J23:J82)),"      -",AVERAGE(J23:J82))</f>
        <v>1.66666666666667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2.75" hidden="false" customHeight="false" outlineLevel="0" collapsed="false">
      <c r="A9" s="43" t="s">
        <v>29</v>
      </c>
      <c r="B9" s="86" t="n">
        <v>0.11</v>
      </c>
      <c r="C9" s="87" t="n">
        <v>1.37</v>
      </c>
      <c r="D9" s="88"/>
      <c r="E9" s="88"/>
      <c r="F9" s="89" t="n">
        <f aca="false">($B9*$B$7+$C9*$C$7)/100</f>
        <v>0.173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2.05480466765633</v>
      </c>
      <c r="O9" s="84" t="n">
        <f aca="false">IF(ISERROR(STDEVP(J23:J82)),"      -",STDEVP(J23:J82))</f>
        <v>0.471404520791032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2.7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11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0.11</v>
      </c>
      <c r="C12" s="119" t="n">
        <v>1.3</v>
      </c>
      <c r="D12" s="111"/>
      <c r="E12" s="111"/>
      <c r="F12" s="112" t="n">
        <f aca="false">($B12*$B$7+$C12*$C$7)/100</f>
        <v>0.1695</v>
      </c>
      <c r="G12" s="120"/>
      <c r="H12" s="68"/>
      <c r="I12" s="121" t="s">
        <v>39</v>
      </c>
      <c r="J12" s="121"/>
      <c r="K12" s="115" t="n">
        <f aca="false">COUNTIF($G$23:$G$82,"=ALG")</f>
        <v>2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 t="n">
        <v>0.01</v>
      </c>
      <c r="D13" s="111"/>
      <c r="E13" s="111"/>
      <c r="F13" s="112" t="n">
        <f aca="false">($B13*$B$7+$C13*$C$7)/100</f>
        <v>0.0005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1</v>
      </c>
      <c r="L13" s="116"/>
      <c r="M13" s="127" t="s">
        <v>42</v>
      </c>
      <c r="N13" s="128" t="n">
        <f aca="false">COUNTIF(F23:F82,"&gt;0")</f>
        <v>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3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0.06</v>
      </c>
      <c r="D15" s="111"/>
      <c r="E15" s="111"/>
      <c r="F15" s="112" t="n">
        <f aca="false">($B15*$B$7+$C15*$C$7)/100</f>
        <v>0.003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2</v>
      </c>
      <c r="L15" s="116"/>
      <c r="M15" s="137" t="s">
        <v>48</v>
      </c>
      <c r="N15" s="138" t="n">
        <f aca="false">COUNTIF(J23:J82,"=1")</f>
        <v>1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2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0.11</v>
      </c>
      <c r="C17" s="119" t="n">
        <v>1.31</v>
      </c>
      <c r="D17" s="111"/>
      <c r="E17" s="111"/>
      <c r="F17" s="143"/>
      <c r="G17" s="112" t="n">
        <f aca="false">($B17*$B$7+$C17*$C$7)/100</f>
        <v>0.17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0.06</v>
      </c>
      <c r="D18" s="111"/>
      <c r="E18" s="147" t="s">
        <v>54</v>
      </c>
      <c r="F18" s="143"/>
      <c r="G18" s="112" t="n">
        <f aca="false">($B18*$B$7+$C18*$C$7)/100</f>
        <v>0.003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2.7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0.173</v>
      </c>
      <c r="G19" s="156" t="n">
        <f aca="false">SUM(G16:G18)</f>
        <v>0.173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0.11</v>
      </c>
      <c r="C20" s="166" t="n">
        <f aca="false">SUM(C23:C82)</f>
        <v>1.37</v>
      </c>
      <c r="D20" s="167"/>
      <c r="E20" s="168" t="s">
        <v>54</v>
      </c>
      <c r="F20" s="169" t="n">
        <f aca="false">($B20*$B$7+$C20*$C$7)/100</f>
        <v>0.173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0.1045</v>
      </c>
      <c r="C21" s="179" t="n">
        <f aca="false">C20*C7/100</f>
        <v>0.0685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0.173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0.1</v>
      </c>
      <c r="C23" s="206" t="n">
        <v>0.06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7" t="e">
        <f aca="false">IF(D23="",,VLOOKUP(D23,D$22:D22,1,0))</f>
        <v>#N/A</v>
      </c>
      <c r="F23" s="208" t="n">
        <f aca="false">($B23*$B$7+$C23*$C$7)/100</f>
        <v>0.098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reference'!A$1:S$65536,19,FALSE())),IF(ISERROR(VLOOKUP($A23,'[1]liste reference'!B$1:S$65536,19,FALSE())),"",VLOOKUP($A23,'[1]liste reference'!B$1:S$65536,19,FALSE())),VLOOKUP($A23,'[1]liste reference'!A$1:S$65536,19,FALSE())))))</f>
        <v>1124</v>
      </c>
      <c r="Q23" s="216" t="n">
        <f aca="false">IF(ISTEXT(H23),"",(B23*$B$7/100)+(C23*$C$7/100))</f>
        <v>0.098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6</v>
      </c>
      <c r="T23" s="217" t="n">
        <f aca="false">IF(ISERROR(R23*I23*J23),0,R23*I23*J23)</f>
        <v>6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0.01</v>
      </c>
      <c r="C24" s="225" t="n">
        <v>1.24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Tolypothrix sp.</v>
      </c>
      <c r="E24" s="226" t="e">
        <f aca="false">IF(D24="",,VLOOKUP(D24,D$22:D23,1,0))</f>
        <v>#N/A</v>
      </c>
      <c r="F24" s="227" t="n">
        <f aca="false">($B24*$B$7+$C24*$C$7)/100</f>
        <v>0.0715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str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/>
      </c>
      <c r="J24" s="211" t="str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/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Tolypothrix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reference'!A$1:S$65536,19,FALSE())),IF(ISERROR(VLOOKUP($A24,'[1]liste reference'!B$1:S$65536,19,FALSE())),"",VLOOKUP($A24,'[1]liste reference'!B$1:S$65536,19,FALSE())),VLOOKUP($A24,'[1]liste reference'!A$1:S$65536,19,FALSE())))))</f>
        <v>6304</v>
      </c>
      <c r="Q24" s="216" t="n">
        <f aca="false">IF(ISTEXT(H24),"",(B24*$B$7/100)+(C24*$C$7/100))</f>
        <v>0.0715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0</v>
      </c>
      <c r="T24" s="217" t="n">
        <f aca="false">IF(ISERROR(R24*I24*J24),0,R24*I24*J24)</f>
        <v>0</v>
      </c>
      <c r="U24" s="229" t="n">
        <f aca="false">IF(ISERROR(R24*J24),0,R24*J24)</f>
        <v>0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TOYSPX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79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</v>
      </c>
      <c r="C25" s="225" t="n">
        <v>0.01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Bryum sp.</v>
      </c>
      <c r="E25" s="226" t="e">
        <f aca="false">IF(D25="",,VLOOKUP(D25,D$22:D24,1,0))</f>
        <v>#N/A</v>
      </c>
      <c r="F25" s="227" t="n">
        <f aca="false">($B25*$B$7+$C25*$C$7)/100</f>
        <v>0.0005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BRm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5</v>
      </c>
      <c r="I25" s="211" t="str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/>
      </c>
      <c r="J25" s="211" t="str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/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Bryum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reference'!A$1:S$65536,19,FALSE())),IF(ISERROR(VLOOKUP($A25,'[1]liste reference'!B$1:S$65536,19,FALSE())),"",VLOOKUP($A25,'[1]liste reference'!B$1:S$65536,19,FALSE())),VLOOKUP($A25,'[1]liste reference'!A$1:S$65536,19,FALSE())))))</f>
        <v>1272</v>
      </c>
      <c r="Q25" s="216" t="n">
        <f aca="false">IF(ISTEXT(H25),"",(B25*$B$7/100)+(C25*$C$7/100))</f>
        <v>0.0005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0</v>
      </c>
      <c r="T25" s="217" t="n">
        <f aca="false">IF(ISERROR(R25*I25*J25),0,R25*I25*J25)</f>
        <v>0</v>
      </c>
      <c r="U25" s="229" t="n">
        <f aca="false">IF(ISERROR(R25*J25),0,R25*J25)</f>
        <v>0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BRYSPX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162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</v>
      </c>
      <c r="C26" s="225" t="n">
        <v>0.01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Phragmites australis</v>
      </c>
      <c r="E26" s="226" t="e">
        <f aca="false">IF(D26="",,VLOOKUP(D26,D$22:D25,1,0))</f>
        <v>#N/A</v>
      </c>
      <c r="F26" s="227" t="n">
        <f aca="false">($B26*$B$7+$C26*$C$7)/100</f>
        <v>0.0005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PHe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8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9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Phragmites australis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reference'!A$1:S$65536,19,FALSE())),IF(ISERROR(VLOOKUP($A26,'[1]liste reference'!B$1:S$65536,19,FALSE())),"",VLOOKUP($A26,'[1]liste reference'!B$1:S$65536,19,FALSE())),VLOOKUP($A26,'[1]liste reference'!A$1:S$65536,19,FALSE())))))</f>
        <v>1579</v>
      </c>
      <c r="Q26" s="216" t="n">
        <f aca="false">IF(ISTEXT(H26),"",(B26*$B$7/100)+(C26*$C$7/100))</f>
        <v>0.0005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9</v>
      </c>
      <c r="T26" s="217" t="n">
        <f aca="false">IF(ISERROR(R26*I26*J26),0,R26*I26*J26)</f>
        <v>18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PHRAUS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635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16</v>
      </c>
      <c r="B27" s="224" t="n">
        <v>0</v>
      </c>
      <c r="C27" s="225" t="n">
        <v>0.01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Veronica anagallis-aquatica</v>
      </c>
      <c r="E27" s="226" t="e">
        <f aca="false">IF(D27="",,VLOOKUP(D27,D$22:D26,1,0))</f>
        <v>#N/A</v>
      </c>
      <c r="F27" s="227" t="n">
        <f aca="false">($B27*$B$7+$C27*$C$7)/100</f>
        <v>0.0005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PHe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8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11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Veronica anagallis-aquatica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reference'!A$1:S$65536,19,FALSE())),IF(ISERROR(VLOOKUP($A27,'[1]liste reference'!B$1:S$65536,19,FALSE())),"",VLOOKUP($A27,'[1]liste reference'!B$1:S$65536,19,FALSE())),VLOOKUP($A27,'[1]liste reference'!A$1:S$65536,19,FALSE())))))</f>
        <v>1955</v>
      </c>
      <c r="Q27" s="216" t="n">
        <f aca="false">IF(ISTEXT(H27),"",(B27*$B$7/100)+(C27*$C$7/100))</f>
        <v>0.0005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11</v>
      </c>
      <c r="T27" s="217" t="n">
        <f aca="false">IF(ISERROR(R27*I27*J27),0,R27*I27*J27)</f>
        <v>22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VERANA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682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</v>
      </c>
      <c r="C28" s="225" t="n">
        <v>0.01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/>
      </c>
      <c r="E28" s="226" t="n">
        <f aca="false">IF(D28="",,VLOOKUP(D28,D$22:D27,1,0))</f>
        <v>0</v>
      </c>
      <c r="F28" s="227" t="n">
        <f aca="false">($B28*$B$7+$C28*$C$7)/100</f>
        <v>0.0005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    -</v>
      </c>
      <c r="H28" s="210" t="str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x</v>
      </c>
      <c r="I28" s="211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1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Salix elaeagnos </v>
      </c>
      <c r="L28" s="228"/>
      <c r="M28" s="228"/>
      <c r="N28" s="228"/>
      <c r="O28" s="214"/>
      <c r="P28" s="215" t="str">
        <f aca="false">IF($A28="NEWCOD",IF($AC28="","No",$AC28),IF(ISTEXT($E28),"DEJA SAISI !",IF($A28="","",IF(ISERROR(VLOOKUP($A28,'[1]liste reference'!A$1:S$65536,19,FALSE())),IF(ISERROR(VLOOKUP($A28,'[1]liste reference'!B$1:S$65536,19,FALSE())),"",VLOOKUP($A28,'[1]liste reference'!B$1:S$65536,19,FALSE())),VLOOKUP($A28,'[1]liste reference'!A$1:S$65536,19,FALSE())))))</f>
        <v>No</v>
      </c>
      <c r="Q28" s="216" t="str">
        <f aca="false">IF(ISTEXT(H28),"",(B28*$B$7/100)+(C28*$C$7/100))</f>
        <v/>
      </c>
      <c r="R28" s="217" t="str">
        <f aca="false">IF(OR(ISTEXT(H28),Q28=0),"",IF(Q28&lt;0.1,1,IF(Q28&lt;1,2,IF(Q28&lt;10,3,IF(Q28&lt;50,4,IF(Q28&gt;=50,5,""))))))</f>
        <v/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newcod</v>
      </c>
      <c r="Z28" s="10" t="str">
        <f aca="false">IF(ISERROR(MATCH(A28,'[1]liste reference'!$A$8:$A$904,0)),IF(ISERROR(MATCH(A28,'[1]liste reference'!$B$8:$B$904,0)),"",(MATCH(A28,'[1]liste reference'!$B$8:$B$904,0))),(MATCH(A28,'[1]liste reference'!$A$8:$A$904,0)))</f>
        <v/>
      </c>
      <c r="AA28" s="221"/>
      <c r="AB28" s="222" t="s">
        <v>83</v>
      </c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82</v>
      </c>
      <c r="B29" s="224" t="n">
        <v>0</v>
      </c>
      <c r="C29" s="225" t="n">
        <v>0.01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/>
      </c>
      <c r="E29" s="226" t="n">
        <f aca="false">IF(D29="",,VLOOKUP(D29,D$22:D28,1,0))</f>
        <v>0</v>
      </c>
      <c r="F29" s="227" t="n">
        <f aca="false">($B29*$B$7+$C29*$C$7)/100</f>
        <v>0.0005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    -</v>
      </c>
      <c r="H29" s="210" t="str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x</v>
      </c>
      <c r="I29" s="211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1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Salix purpurea</v>
      </c>
      <c r="L29" s="228"/>
      <c r="M29" s="228"/>
      <c r="N29" s="228"/>
      <c r="O29" s="214"/>
      <c r="P29" s="215" t="str">
        <f aca="false">IF($A29="NEWCOD",IF($AC29="","No",$AC29),IF(ISTEXT($E29),"DEJA SAISI !",IF($A29="","",IF(ISERROR(VLOOKUP($A29,'[1]liste reference'!A$1:S$65536,19,FALSE())),IF(ISERROR(VLOOKUP($A29,'[1]liste reference'!B$1:S$65536,19,FALSE())),"",VLOOKUP($A29,'[1]liste reference'!B$1:S$65536,19,FALSE())),VLOOKUP($A29,'[1]liste reference'!A$1:S$65536,19,FALSE())))))</f>
        <v>No</v>
      </c>
      <c r="Q29" s="216" t="str">
        <f aca="false">IF(ISTEXT(H29),"",(B29*$B$7/100)+(C29*$C$7/100))</f>
        <v/>
      </c>
      <c r="R29" s="217" t="str">
        <f aca="false">IF(OR(ISTEXT(H29),Q29=0),"",IF(Q29&lt;0.1,1,IF(Q29&lt;1,2,IF(Q29&lt;10,3,IF(Q29&lt;50,4,IF(Q29&gt;=50,5,""))))))</f>
        <v/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newcod</v>
      </c>
      <c r="Z29" s="10" t="str">
        <f aca="false">IF(ISERROR(MATCH(A29,'[1]liste reference'!$A$8:$A$904,0)),IF(ISERROR(MATCH(A29,'[1]liste reference'!$B$8:$B$904,0)),"",(MATCH(A29,'[1]liste reference'!$B$8:$B$904,0))),(MATCH(A29,'[1]liste reference'!$A$8:$A$904,0)))</f>
        <v/>
      </c>
      <c r="AA29" s="221"/>
      <c r="AB29" s="222" t="s">
        <v>84</v>
      </c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82</v>
      </c>
      <c r="B30" s="224" t="n">
        <v>0</v>
      </c>
      <c r="C30" s="225" t="n">
        <v>0.01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26" t="n">
        <f aca="false">IF(D30="",,VLOOKUP(D30,D$22:D29,1,0))</f>
        <v>0</v>
      </c>
      <c r="F30" s="227" t="n">
        <f aca="false">($B30*$B$7+$C30*$C$7)/100</f>
        <v>0.0005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    -</v>
      </c>
      <c r="H30" s="210" t="str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x</v>
      </c>
      <c r="I30" s="211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1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Populus canescens</v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!",IF($A30="","",IF(ISERROR(VLOOKUP($A30,'[1]liste reference'!A$1:S$65536,19,FALSE())),IF(ISERROR(VLOOKUP($A30,'[1]liste reference'!B$1:S$65536,19,FALSE())),"",VLOOKUP($A30,'[1]liste reference'!B$1:S$65536,19,FALSE())),VLOOKUP($A30,'[1]liste reference'!A$1:S$65536,19,FALSE())))))</f>
        <v>No</v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newcod</v>
      </c>
      <c r="Z30" s="10" t="str">
        <f aca="false">IF(ISERROR(MATCH(A30,'[1]liste reference'!$A$8:$A$904,0)),IF(ISERROR(MATCH(A30,'[1]liste reference'!$B$8:$B$904,0)),"",(MATCH(A30,'[1]liste reference'!$B$8:$B$904,0))),(MATCH(A30,'[1]liste reference'!$A$8:$A$904,0)))</f>
        <v/>
      </c>
      <c r="AA30" s="221"/>
      <c r="AB30" s="222" t="s">
        <v>85</v>
      </c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82</v>
      </c>
      <c r="B31" s="224" t="n">
        <v>0</v>
      </c>
      <c r="C31" s="225" t="n">
        <v>0.01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6" t="n">
        <f aca="false">IF(D31="",,VLOOKUP(D31,D$22:D30,1,0))</f>
        <v>0</v>
      </c>
      <c r="F31" s="227" t="n">
        <f aca="false">($B31*$B$7+$C31*$C$7)/100</f>
        <v>0.0005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    -</v>
      </c>
      <c r="H31" s="210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1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Alnus incana</v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!",IF($A31="","",IF(ISERROR(VLOOKUP($A31,'[1]liste reference'!A$1:S$65536,19,FALSE())),IF(ISERROR(VLOOKUP($A31,'[1]liste reference'!B$1:S$65536,19,FALSE())),"",VLOOKUP($A31,'[1]liste reference'!B$1:S$65536,19,FALSE())),VLOOKUP($A31,'[1]liste reference'!A$1:S$65536,19,FALSE())))))</f>
        <v>No</v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newcod</v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1"/>
      <c r="AB31" s="222" t="s">
        <v>86</v>
      </c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6" t="n">
        <f aca="false">IF(D32="",,VLOOKUP(D32,D$22:D31,1,0))</f>
        <v>0</v>
      </c>
      <c r="F32" s="227" t="n">
        <f aca="false">($B32*$B$7+$C32*$C$7)/100</f>
        <v>0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10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!",IF($A32="","",IF(ISERROR(VLOOKUP($A32,'[1]liste reference'!A$1:S$65536,19,FALSE())),IF(ISERROR(VLOOKUP($A32,'[1]liste reference'!B$1:S$65536,19,FALSE())),"",VLOOKUP($A32,'[1]liste reference'!B$1:S$65536,19,FALSE())),VLOOKUP($A32,'[1]liste reference'!A$1:S$65536,19,FALSE())))))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6" t="n">
        <f aca="false">IF(D33="",,VLOOKUP(D33,D$22:D32,1,0))</f>
        <v>0</v>
      </c>
      <c r="F33" s="227" t="n">
        <f aca="false">($B33*$B$7+$C33*$C$7)/100</f>
        <v>0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10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!",IF($A33="","",IF(ISERROR(VLOOKUP($A33,'[1]liste reference'!A$1:S$65536,19,FALSE())),IF(ISERROR(VLOOKUP($A33,'[1]liste reference'!B$1:S$65536,19,FALSE())),"",VLOOKUP($A33,'[1]liste reference'!B$1:S$65536,19,FALSE())),VLOOKUP($A33,'[1]liste reference'!A$1:S$65536,19,FALSE())))))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6" t="n">
        <f aca="false">IF(D34="",,VLOOKUP(D34,D$22:D33,1,0))</f>
        <v>0</v>
      </c>
      <c r="F34" s="231" t="n">
        <f aca="false">($B34*$B$7+$C34*$C$7)/100</f>
        <v>0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10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!",IF($A34="","",IF(ISERROR(VLOOKUP($A34,'[1]liste reference'!A$1:S$65536,19,FALSE())),IF(ISERROR(VLOOKUP($A34,'[1]liste reference'!B$1:S$65536,19,FALSE())),"",VLOOKUP($A34,'[1]liste reference'!B$1:S$65536,19,FALSE())),VLOOKUP($A34,'[1]liste reference'!A$1:S$65536,19,FALSE())))))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IF(D35="",,VLOOKUP(D35,D$22:D34,1,0))</f>
        <v>0</v>
      </c>
      <c r="F35" s="231" t="n">
        <f aca="false">($B35*$B$7+$C35*$C$7)/100</f>
        <v>0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reference'!A$1:S$65536,19,FALSE())),IF(ISERROR(VLOOKUP($A35,'[1]liste reference'!B$1:S$65536,19,FALSE())),"",VLOOKUP($A35,'[1]liste reference'!B$1:S$65536,19,FALSE())),VLOOKUP($A35,'[1]liste reference'!A$1:S$65536,19,FALSE())))))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reference'!A$1:S$65536,19,FALSE())),IF(ISERROR(VLOOKUP($A36,'[1]liste reference'!B$1:S$65536,19,FALSE())),"",VLOOKUP($A36,'[1]liste reference'!B$1:S$65536,19,FALSE())),VLOOKUP($A36,'[1]liste reference'!A$1:S$65536,19,FALSE())))))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reference'!A$1:S$65536,19,FALSE())),IF(ISERROR(VLOOKUP($A37,'[1]liste reference'!B$1:S$65536,19,FALSE())),"",VLOOKUP($A37,'[1]liste reference'!B$1:S$65536,19,FALSE())),VLOOKUP($A37,'[1]liste reference'!A$1:S$65536,19,FALSE())))))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reference'!A$1:S$65536,19,FALSE())),IF(ISERROR(VLOOKUP($A38,'[1]liste reference'!B$1:S$65536,19,FALSE())),"",VLOOKUP($A38,'[1]liste reference'!B$1:S$65536,19,FALSE())),VLOOKUP($A38,'[1]liste reference'!A$1:S$65536,19,FALSE())))))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reference'!A$1:S$65536,19,FALSE())),IF(ISERROR(VLOOKUP($A39,'[1]liste reference'!B$1:S$65536,19,FALSE())),"",VLOOKUP($A39,'[1]liste reference'!B$1:S$65536,19,FALSE())),VLOOKUP($A39,'[1]liste reference'!A$1:S$65536,19,FALSE())))))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reference'!A$1:S$65536,19,FALSE())),IF(ISERROR(VLOOKUP($A40,'[1]liste reference'!B$1:S$65536,19,FALSE())),"",VLOOKUP($A40,'[1]liste reference'!B$1:S$65536,19,FALSE())),VLOOKUP($A40,'[1]liste reference'!A$1:S$65536,19,FALSE())))))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reference'!A$1:S$65536,19,FALSE())),IF(ISERROR(VLOOKUP($A41,'[1]liste reference'!B$1:S$65536,19,FALSE())),"",VLOOKUP($A41,'[1]liste reference'!B$1:S$65536,19,FALSE())),VLOOKUP($A41,'[1]liste reference'!A$1:S$65536,19,FALSE())))))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reference'!A$1:S$65536,19,FALSE())),IF(ISERROR(VLOOKUP($A42,'[1]liste reference'!B$1:S$65536,19,FALSE())),"",VLOOKUP($A42,'[1]liste reference'!B$1:S$65536,19,FALSE())),VLOOKUP($A42,'[1]liste reference'!A$1:S$65536,19,FALSE())))))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reference'!A$1:S$65536,19,FALSE())),IF(ISERROR(VLOOKUP($A43,'[1]liste reference'!B$1:S$65536,19,FALSE())),"",VLOOKUP($A43,'[1]liste reference'!B$1:S$65536,19,FALSE())),VLOOKUP($A43,'[1]liste reference'!A$1:S$65536,19,FALSE())))))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reference'!A$1:S$65536,19,FALSE())),IF(ISERROR(VLOOKUP($A44,'[1]liste reference'!B$1:S$65536,19,FALSE())),"",VLOOKUP($A44,'[1]liste reference'!B$1:S$65536,19,FALSE())),VLOOKUP($A44,'[1]liste reference'!A$1:S$65536,19,FALSE())))))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reference'!A$1:S$65536,19,FALSE())),IF(ISERROR(VLOOKUP($A45,'[1]liste reference'!B$1:S$65536,19,FALSE())),"",VLOOKUP($A45,'[1]liste reference'!B$1:S$65536,19,FALSE())),VLOOKUP($A45,'[1]liste reference'!A$1:S$65536,19,FALSE())))))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reference'!A$1:S$65536,19,FALSE())),IF(ISERROR(VLOOKUP($A46,'[1]liste reference'!B$1:S$65536,19,FALSE())),"",VLOOKUP($A46,'[1]liste reference'!B$1:S$65536,19,FALSE())),VLOOKUP($A46,'[1]liste reference'!A$1:S$65536,19,FALSE())))))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reference'!A$1:S$65536,19,FALSE())),IF(ISERROR(VLOOKUP($A47,'[1]liste reference'!B$1:S$65536,19,FALSE())),"",VLOOKUP($A47,'[1]liste reference'!B$1:S$65536,19,FALSE())),VLOOKUP($A47,'[1]liste reference'!A$1:S$65536,19,FALSE())))))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reference'!A$1:S$65536,19,FALSE())),IF(ISERROR(VLOOKUP($A48,'[1]liste reference'!B$1:S$65536,19,FALSE())),"",VLOOKUP($A48,'[1]liste reference'!B$1:S$65536,19,FALSE())),VLOOKUP($A48,'[1]liste reference'!A$1:S$65536,19,FALSE())))))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reference'!A$1:S$65536,19,FALSE())),IF(ISERROR(VLOOKUP($A49,'[1]liste reference'!B$1:S$65536,19,FALSE())),"",VLOOKUP($A49,'[1]liste reference'!B$1:S$65536,19,FALSE())),VLOOKUP($A49,'[1]liste reference'!A$1:S$65536,19,FALSE())))))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reference'!A$1:S$65536,19,FALSE())),IF(ISERROR(VLOOKUP($A50,'[1]liste reference'!B$1:S$65536,19,FALSE())),"",VLOOKUP($A50,'[1]liste reference'!B$1:S$65536,19,FALSE())),VLOOKUP($A50,'[1]liste reference'!A$1:S$65536,19,FALSE())))))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reference'!A$1:S$65536,19,FALSE())),IF(ISERROR(VLOOKUP($A51,'[1]liste reference'!B$1:S$65536,19,FALSE())),"",VLOOKUP($A51,'[1]liste reference'!B$1:S$65536,19,FALSE())),VLOOKUP($A51,'[1]liste reference'!A$1:S$65536,19,FALSE())))))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reference'!A$1:S$65536,19,FALSE())),IF(ISERROR(VLOOKUP($A52,'[1]liste reference'!B$1:S$65536,19,FALSE())),"",VLOOKUP($A52,'[1]liste reference'!B$1:S$65536,19,FALSE())),VLOOKUP($A52,'[1]liste reference'!A$1:S$65536,19,FALSE())))))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reference'!A$1:S$65536,19,FALSE())),IF(ISERROR(VLOOKUP($A53,'[1]liste reference'!B$1:S$65536,19,FALSE())),"",VLOOKUP($A53,'[1]liste reference'!B$1:S$65536,19,FALSE())),VLOOKUP($A53,'[1]liste reference'!A$1:S$65536,19,FALSE())))))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reference'!A$1:S$65536,19,FALSE())),IF(ISERROR(VLOOKUP($A54,'[1]liste reference'!B$1:S$65536,19,FALSE())),"",VLOOKUP($A54,'[1]liste reference'!B$1:S$65536,19,FALSE())),VLOOKUP($A54,'[1]liste reference'!A$1:S$65536,19,FALSE())))))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reference'!A$1:S$65536,19,FALSE())),IF(ISERROR(VLOOKUP($A55,'[1]liste reference'!B$1:S$65536,19,FALSE())),"",VLOOKUP($A55,'[1]liste reference'!B$1:S$65536,19,FALSE())),VLOOKUP($A55,'[1]liste reference'!A$1:S$65536,19,FALSE())))))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reference'!A$1:S$65536,19,FALSE())),IF(ISERROR(VLOOKUP($A56,'[1]liste reference'!B$1:S$65536,19,FALSE())),"",VLOOKUP($A56,'[1]liste reference'!B$1:S$65536,19,FALSE())),VLOOKUP($A56,'[1]liste reference'!A$1:S$65536,19,FALSE())))))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reference'!A$1:S$65536,19,FALSE())),IF(ISERROR(VLOOKUP($A57,'[1]liste reference'!B$1:S$65536,19,FALSE())),"",VLOOKUP($A57,'[1]liste reference'!B$1:S$65536,19,FALSE())),VLOOKUP($A57,'[1]liste reference'!A$1:S$65536,19,FALSE())))))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reference'!A$1:S$65536,19,FALSE())),IF(ISERROR(VLOOKUP($A58,'[1]liste reference'!B$1:S$65536,19,FALSE())),"",VLOOKUP($A58,'[1]liste reference'!B$1:S$65536,19,FALSE())),VLOOKUP($A58,'[1]liste reference'!A$1:S$65536,19,FALSE())))))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reference'!A$1:S$65536,19,FALSE())),IF(ISERROR(VLOOKUP($A59,'[1]liste reference'!B$1:S$65536,19,FALSE())),"",VLOOKUP($A59,'[1]liste reference'!B$1:S$65536,19,FALSE())),VLOOKUP($A59,'[1]liste reference'!A$1:S$65536,19,FALSE())))))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reference'!A$1:S$65536,19,FALSE())),IF(ISERROR(VLOOKUP($A60,'[1]liste reference'!B$1:S$65536,19,FALSE())),"",VLOOKUP($A60,'[1]liste reference'!B$1:S$65536,19,FALSE())),VLOOKUP($A60,'[1]liste reference'!A$1:S$65536,19,FALSE())))))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reference'!A$1:S$65536,19,FALSE())),IF(ISERROR(VLOOKUP($A61,'[1]liste reference'!B$1:S$65536,19,FALSE())),"",VLOOKUP($A61,'[1]liste reference'!B$1:S$65536,19,FALSE())),VLOOKUP($A61,'[1]liste reference'!A$1:S$65536,19,FALSE())))))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reference'!A$1:S$65536,19,FALSE())),IF(ISERROR(VLOOKUP($A62,'[1]liste reference'!B$1:S$65536,19,FALSE())),"",VLOOKUP($A62,'[1]liste reference'!B$1:S$65536,19,FALSE())),VLOOKUP($A62,'[1]liste reference'!A$1:S$65536,19,FALSE())))))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reference'!A$1:S$65536,19,FALSE())),IF(ISERROR(VLOOKUP($A63,'[1]liste reference'!B$1:S$65536,19,FALSE())),"",VLOOKUP($A63,'[1]liste reference'!B$1:S$65536,19,FALSE())),VLOOKUP($A63,'[1]liste reference'!A$1:S$65536,19,FALSE())))))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reference'!A$1:S$65536,19,FALSE())),IF(ISERROR(VLOOKUP($A64,'[1]liste reference'!B$1:S$65536,19,FALSE())),"",VLOOKUP($A64,'[1]liste reference'!B$1:S$65536,19,FALSE())),VLOOKUP($A64,'[1]liste reference'!A$1:S$65536,19,FALSE())))))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reference'!A$1:S$65536,19,FALSE())),IF(ISERROR(VLOOKUP($A65,'[1]liste reference'!B$1:S$65536,19,FALSE())),"",VLOOKUP($A65,'[1]liste reference'!B$1:S$65536,19,FALSE())),VLOOKUP($A65,'[1]liste reference'!A$1:S$65536,19,FALSE())))))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reference'!A$1:S$65536,19,FALSE())),IF(ISERROR(VLOOKUP($A66,'[1]liste reference'!B$1:S$65536,19,FALSE())),"",VLOOKUP($A66,'[1]liste reference'!B$1:S$65536,19,FALSE())),VLOOKUP($A66,'[1]liste reference'!A$1:S$65536,19,FALSE())))))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reference'!A$1:S$65536,19,FALSE())),IF(ISERROR(VLOOKUP($A67,'[1]liste reference'!B$1:S$65536,19,FALSE())),"",VLOOKUP($A67,'[1]liste reference'!B$1:S$65536,19,FALSE())),VLOOKUP($A67,'[1]liste reference'!A$1:S$65536,19,FALSE())))))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reference'!A$1:S$65536,19,FALSE())),IF(ISERROR(VLOOKUP($A68,'[1]liste reference'!B$1:S$65536,19,FALSE())),"",VLOOKUP($A68,'[1]liste reference'!B$1:S$65536,19,FALSE())),VLOOKUP($A68,'[1]liste reference'!A$1:S$65536,19,FALSE())))))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reference'!A$1:S$65536,19,FALSE())),IF(ISERROR(VLOOKUP($A69,'[1]liste reference'!B$1:S$65536,19,FALSE())),"",VLOOKUP($A69,'[1]liste reference'!B$1:S$65536,19,FALSE())),VLOOKUP($A69,'[1]liste reference'!A$1:S$65536,19,FALSE())))))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reference'!A$1:S$65536,19,FALSE())),IF(ISERROR(VLOOKUP($A70,'[1]liste reference'!B$1:S$65536,19,FALSE())),"",VLOOKUP($A70,'[1]liste reference'!B$1:S$65536,19,FALSE())),VLOOKUP($A70,'[1]liste reference'!A$1:S$65536,19,FALSE())))))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reference'!A$1:S$65536,19,FALSE())),IF(ISERROR(VLOOKUP($A71,'[1]liste reference'!B$1:S$65536,19,FALSE())),"",VLOOKUP($A71,'[1]liste reference'!B$1:S$65536,19,FALSE())),VLOOKUP($A71,'[1]liste reference'!A$1:S$65536,19,FALSE())))))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reference'!A$1:S$65536,19,FALSE())),IF(ISERROR(VLOOKUP($A72,'[1]liste reference'!B$1:S$65536,19,FALSE())),"",VLOOKUP($A72,'[1]liste reference'!B$1:S$65536,19,FALSE())),VLOOKUP($A72,'[1]liste reference'!A$1:S$65536,19,FALSE())))))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reference'!A$1:S$65536,19,FALSE())),IF(ISERROR(VLOOKUP($A73,'[1]liste reference'!B$1:S$65536,19,FALSE())),"",VLOOKUP($A73,'[1]liste reference'!B$1:S$65536,19,FALSE())),VLOOKUP($A73,'[1]liste reference'!A$1:S$65536,19,FALSE())))))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reference'!A$1:S$65536,19,FALSE())),IF(ISERROR(VLOOKUP($A74,'[1]liste reference'!B$1:S$65536,19,FALSE())),"",VLOOKUP($A74,'[1]liste reference'!B$1:S$65536,19,FALSE())),VLOOKUP($A74,'[1]liste reference'!A$1:S$65536,19,FALSE())))))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reference'!A$1:S$65536,19,FALSE())),IF(ISERROR(VLOOKUP($A75,'[1]liste reference'!B$1:S$65536,19,FALSE())),"",VLOOKUP($A75,'[1]liste reference'!B$1:S$65536,19,FALSE())),VLOOKUP($A75,'[1]liste reference'!A$1:S$65536,19,FALSE())))))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reference'!A$1:S$65536,19,FALSE())),IF(ISERROR(VLOOKUP($A76,'[1]liste reference'!B$1:S$65536,19,FALSE())),"",VLOOKUP($A76,'[1]liste reference'!B$1:S$65536,19,FALSE())),VLOOKUP($A76,'[1]liste reference'!A$1:S$65536,19,FALSE())))))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reference'!A$1:S$65536,19,FALSE())),IF(ISERROR(VLOOKUP($A77,'[1]liste reference'!B$1:S$65536,19,FALSE())),"",VLOOKUP($A77,'[1]liste reference'!B$1:S$65536,19,FALSE())),VLOOKUP($A77,'[1]liste reference'!A$1:S$65536,19,FALSE())))))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reference'!A$1:S$65536,19,FALSE())),IF(ISERROR(VLOOKUP($A78,'[1]liste reference'!B$1:S$65536,19,FALSE())),"",VLOOKUP($A78,'[1]liste reference'!B$1:S$65536,19,FALSE())),VLOOKUP($A78,'[1]liste reference'!A$1:S$65536,19,FALSE())))))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reference'!A$1:S$65536,19,FALSE())),IF(ISERROR(VLOOKUP($A79,'[1]liste reference'!B$1:S$65536,19,FALSE())),"",VLOOKUP($A79,'[1]liste reference'!B$1:S$65536,19,FALSE())),VLOOKUP($A79,'[1]liste reference'!A$1:S$65536,19,FALSE())))))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reference'!A$1:S$65536,19,FALSE())),IF(ISERROR(VLOOKUP($A80,'[1]liste reference'!B$1:S$65536,19,FALSE())),"",VLOOKUP($A80,'[1]liste reference'!B$1:S$65536,19,FALSE())),VLOOKUP($A80,'[1]liste reference'!A$1:S$65536,19,FALSE())))))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reference'!A$1:S$65536,19,FALSE())),IF(ISERROR(VLOOKUP($A81,'[1]liste reference'!B$1:S$65536,19,FALSE())),"",VLOOKUP($A81,'[1]liste reference'!B$1:S$65536,19,FALSE())),VLOOKUP($A81,'[1]liste reference'!A$1:S$65536,19,FALSE())))))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reference'!A$1:S$65536,19,FALSE())),IF(ISERROR(VLOOKUP($A82,'[1]liste reference'!B$1:S$65536,19,FALSE())),"",VLOOKUP($A82,'[1]liste reference'!B$1:S$65536,19,FALSE())),VLOOKUP($A82,'[1]liste reference'!A$1:S$65536,19,FALSE())))))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3.8" hidden="true" customHeight="false" outlineLevel="0" collapsed="false">
      <c r="A83" s="254" t="s">
        <v>87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Eygues</v>
      </c>
      <c r="B84" s="259" t="str">
        <f aca="false">C3</f>
        <v>Eygues à Nyons</v>
      </c>
      <c r="C84" s="260" t="n">
        <f aca="false">A4</f>
        <v>41443</v>
      </c>
      <c r="D84" s="261" t="n">
        <f aca="false">IF(ISERROR(SUM($T$23:$T$82)/SUM($U$23:$U$82)),"",SUM($T$23:$T$82)/SUM($U$23:$U$82))</f>
        <v>9.2</v>
      </c>
      <c r="E84" s="262" t="n">
        <f aca="false">N13</f>
        <v>9</v>
      </c>
      <c r="F84" s="259" t="n">
        <f aca="false">N14</f>
        <v>3</v>
      </c>
      <c r="G84" s="259" t="n">
        <f aca="false">N15</f>
        <v>1</v>
      </c>
      <c r="H84" s="259" t="n">
        <f aca="false">N16</f>
        <v>2</v>
      </c>
      <c r="I84" s="259" t="n">
        <f aca="false">N17</f>
        <v>0</v>
      </c>
      <c r="J84" s="263" t="n">
        <f aca="false">N8</f>
        <v>8.66666666666667</v>
      </c>
      <c r="K84" s="261" t="n">
        <f aca="false">N9</f>
        <v>2.05480466765633</v>
      </c>
      <c r="L84" s="262" t="n">
        <f aca="false">N10</f>
        <v>6</v>
      </c>
      <c r="M84" s="262" t="n">
        <f aca="false">N11</f>
        <v>11</v>
      </c>
      <c r="N84" s="261" t="n">
        <f aca="false">O8</f>
        <v>1.66666666666667</v>
      </c>
      <c r="O84" s="261" t="n">
        <f aca="false">O9</f>
        <v>0.471404520791032</v>
      </c>
      <c r="P84" s="262" t="n">
        <f aca="false">O10</f>
        <v>1</v>
      </c>
      <c r="Q84" s="262" t="n">
        <f aca="false">O11</f>
        <v>2</v>
      </c>
      <c r="R84" s="262" t="n">
        <f aca="false">F21</f>
        <v>0.173</v>
      </c>
      <c r="S84" s="262" t="n">
        <f aca="false">K11</f>
        <v>0</v>
      </c>
      <c r="T84" s="262" t="n">
        <f aca="false">K12</f>
        <v>2</v>
      </c>
      <c r="U84" s="262" t="n">
        <f aca="false">K13</f>
        <v>1</v>
      </c>
      <c r="V84" s="264" t="n">
        <f aca="false">K14</f>
        <v>0</v>
      </c>
      <c r="W84" s="265" t="n">
        <f aca="false">K15</f>
        <v>2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88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89</v>
      </c>
      <c r="R87" s="10"/>
      <c r="S87" s="218" t="n">
        <f aca="false">VLOOKUP(MAX($S$23:$S$82),($S$23:$U$82),1,0)</f>
        <v>11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90</v>
      </c>
      <c r="R88" s="10"/>
      <c r="S88" s="218" t="n">
        <f aca="false">VLOOKUP((S87),($S$23:$U$82),2,0)</f>
        <v>22</v>
      </c>
      <c r="T88" s="10"/>
      <c r="U88" s="10"/>
      <c r="V88" s="10"/>
    </row>
    <row r="89" customFormat="false" ht="12.75" hidden="true" customHeight="false" outlineLevel="0" collapsed="false">
      <c r="Q89" s="10" t="s">
        <v>91</v>
      </c>
      <c r="R89" s="10"/>
      <c r="S89" s="218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92</v>
      </c>
      <c r="R90" s="10"/>
      <c r="S90" s="268" t="n">
        <f aca="false">IF(ISERROR(SUM($T$23:$T$82)/SUM($U$23:$U$82)),"",(SUM($T$23:$T$82)-S88)/(SUM($U$23:$U$82)-S89))</f>
        <v>8</v>
      </c>
      <c r="T90" s="10"/>
    </row>
    <row r="91" customFormat="false" ht="12.75" hidden="false" customHeight="false" outlineLevel="0" collapsed="false">
      <c r="Q91" s="217" t="s">
        <v>93</v>
      </c>
      <c r="R91" s="217"/>
      <c r="S91" s="217" t="str">
        <f aca="false">INDEX('[1]liste reference'!$A$8:$A$904,$T$91)</f>
        <v>VERANA</v>
      </c>
      <c r="T91" s="10" t="n">
        <f aca="false">IF(ISERROR(MATCH($S$93,'[1]liste reference'!$A$8:$A$904,0)),MATCH($S$93,'[1]liste reference'!$B$8:$B$904,0),(MATCH($S$93,'[1]liste reference'!$A$8:$A$904,0)))</f>
        <v>682</v>
      </c>
      <c r="U91" s="257"/>
    </row>
    <row r="92" customFormat="false" ht="12.75" hidden="false" customHeight="false" outlineLevel="0" collapsed="false">
      <c r="Q92" s="10" t="s">
        <v>94</v>
      </c>
      <c r="R92" s="10"/>
      <c r="S92" s="10" t="n">
        <f aca="false">MATCH(S87,$S$23:$S$82,0)</f>
        <v>5</v>
      </c>
      <c r="T92" s="10"/>
    </row>
    <row r="93" customFormat="false" ht="12.75" hidden="false" customHeight="false" outlineLevel="0" collapsed="false">
      <c r="Q93" s="217" t="s">
        <v>95</v>
      </c>
      <c r="R93" s="10"/>
      <c r="S93" s="217" t="str">
        <f aca="false">INDEX($A$23:$A$82,$S$92)</f>
        <v>VERANA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P23:P82">
    <cfRule type="cellIs" priority="2" operator="equal" aboveAverage="0" equalAverage="0" bottom="0" percent="0" rank="0" text="" dxfId="5">
      <formula>"code non répertorié ou synonyme"</formula>
    </cfRule>
    <cfRule type="expression" priority="3" aboveAverage="0" equalAverage="0" bottom="0" percent="0" rank="0" text="" dxfId="6">
      <formula>AND($I23="",$J23="")</formula>
    </cfRule>
    <cfRule type="cellIs" priority="4" operator="equal" aboveAverage="0" equalAverage="0" bottom="0" percent="0" rank="0" text="" dxfId="7">
      <formula>"DEJA SAISI !"</formula>
    </cfRule>
  </conditionalFormatting>
  <conditionalFormatting sqref="K23:K82">
    <cfRule type="cellIs" priority="5" operator="equal" aboveAverage="0" equalAverage="0" bottom="0" percent="0" rank="0" text="" dxfId="8">
      <formula>"Remplir le champs 'Nouveau taxa' svp."</formula>
    </cfRule>
  </conditionalFormatting>
  <conditionalFormatting sqref="A23:A82">
    <cfRule type="expression" priority="6" aboveAverage="0" equalAverage="0" bottom="0" percent="0" rank="0" text="" dxfId="9">
      <formula>ISTEXT($E23)</formula>
    </cfRule>
  </conditionalFormatting>
  <conditionalFormatting sqref="H23:J82">
    <cfRule type="cellIs" priority="7" operator="equal" aboveAverage="0" equalAverage="0" bottom="0" percent="0" rank="0" text="" dxfId="10">
      <formula>"x"</formula>
    </cfRule>
  </conditionalFormatting>
  <conditionalFormatting sqref="W23:X23">
    <cfRule type="cellIs" priority="8" operator="equal" aboveAverage="0" equalAverage="0" bottom="0" percent="0" rank="0" text="" dxfId="11">
      <formula>"DEJA SAISI !"</formula>
    </cfRule>
    <cfRule type="cellIs" priority="9" operator="equal" aboveAverage="0" equalAverage="0" bottom="0" percent="0" rank="0" text="" dxfId="12">
      <formula>"non répertorié"</formula>
    </cfRule>
    <cfRule type="expression" priority="10" aboveAverage="0" equalAverage="0" bottom="0" percent="0" rank="0" text="" dxfId="13">
      <formula>AND(ISTEXT($G$23),ISBLANK($I$23))</formula>
    </cfRule>
  </conditionalFormatting>
  <conditionalFormatting sqref="L27:O82 O23:O26 K23:K82">
    <cfRule type="cellIs" priority="11" operator="equal" aboveAverage="0" equalAverage="0" bottom="0" percent="0" rank="0" text="" dxfId="14">
      <formula>"code non répertorié ou synonyme"</formula>
    </cfRule>
    <cfRule type="expression" priority="12" aboveAverage="0" equalAverage="0" bottom="0" percent="0" rank="0" text="" dxfId="15">
      <formula>AND($I23="",$J23="")</formula>
    </cfRule>
    <cfRule type="cellIs" priority="13" operator="equal" aboveAverage="0" equalAverage="0" bottom="0" percent="0" rank="0" text="" dxfId="16">
      <formula>"DEJA SAISI !"</formula>
    </cfRule>
  </conditionalFormatting>
  <conditionalFormatting sqref="A2">
    <cfRule type="cellIs" priority="14" operator="between" aboveAverage="0" equalAverage="0" bottom="0" percent="0" rank="0" text="" dxfId="17">
      <formula>"(organisme)"</formula>
      <formula>"(organisme)"</formula>
    </cfRule>
    <cfRule type="cellIs" priority="15" operator="notBetween" aboveAverage="0" equalAverage="0" bottom="0" percent="0" rank="0" text="" dxfId="18">
      <formula>"(organisme)"</formula>
      <formula>"(organisme)"</formula>
    </cfRule>
  </conditionalFormatting>
  <conditionalFormatting sqref="A3">
    <cfRule type="cellIs" priority="16" operator="between" aboveAverage="0" equalAverage="0" bottom="0" percent="0" rank="0" text="" dxfId="19">
      <formula>"(cours d'eau)"</formula>
      <formula>"(cours d'eau)"</formula>
    </cfRule>
    <cfRule type="cellIs" priority="17" operator="notBetween" aboveAverage="0" equalAverage="0" bottom="0" percent="0" rank="0" text="" dxfId="20">
      <formula>"(cours d'eau)"</formula>
      <formula>"(cours d'eau)"</formula>
    </cfRule>
  </conditionalFormatting>
  <conditionalFormatting sqref="A4">
    <cfRule type="cellIs" priority="18" operator="between" aboveAverage="0" equalAverage="0" bottom="0" percent="0" rank="0" text="" dxfId="21">
      <formula>"(Date)"</formula>
      <formula>"(Date)"</formula>
    </cfRule>
    <cfRule type="cellIs" priority="19" operator="notBetween" aboveAverage="0" equalAverage="0" bottom="0" percent="0" rank="0" text="" dxfId="22">
      <formula>"(Date)"</formula>
      <formula>"(Date)"</formula>
    </cfRule>
  </conditionalFormatting>
  <conditionalFormatting sqref="C2">
    <cfRule type="cellIs" priority="20" operator="between" aboveAverage="0" equalAverage="0" bottom="0" percent="0" rank="0" text="" dxfId="23">
      <formula>"(Opérateurs)"</formula>
      <formula>"(Opérateurs)"</formula>
    </cfRule>
    <cfRule type="cellIs" priority="21" operator="notBetween" aboveAverage="0" equalAverage="0" bottom="0" percent="0" rank="0" text="" dxfId="24">
      <formula>"(Opérateurs)"</formula>
      <formula>"(Opérateurs)"</formula>
    </cfRule>
  </conditionalFormatting>
  <conditionalFormatting sqref="C3">
    <cfRule type="cellIs" priority="22" operator="between" aboveAverage="0" equalAverage="0" bottom="0" percent="0" rank="0" text="" dxfId="25">
      <formula>"(Nom de la station)"</formula>
      <formula>"(Nom de la station)"</formula>
    </cfRule>
    <cfRule type="cellIs" priority="23" operator="notBetween" aboveAverage="0" equalAverage="0" bottom="0" percent="0" rank="0" text="" dxfId="26">
      <formula>"(Nom de la station)"</formula>
      <formula>"(Nom de la station)"</formula>
    </cfRule>
  </conditionalFormatting>
  <conditionalFormatting sqref="K3">
    <cfRule type="cellIs" priority="24" operator="between" aboveAverage="0" equalAverage="0" bottom="0" percent="0" rank="0" text="" dxfId="27">
      <formula>"(Code station)"</formula>
      <formula>"(Code station)"</formula>
    </cfRule>
    <cfRule type="cellIs" priority="25" operator="notBetween" aboveAverage="0" equalAverage="0" bottom="0" percent="0" rank="0" text="" dxfId="28">
      <formula>"(Code station)"</formula>
      <formula>"(Code station)"</formula>
    </cfRule>
  </conditionalFormatting>
  <conditionalFormatting sqref="M3">
    <cfRule type="cellIs" priority="26" operator="between" aboveAverage="0" equalAverage="0" bottom="0" percent="0" rank="0" text="" dxfId="29">
      <formula>"(Dossier, type réseau)"</formula>
      <formula>"(Dossier, type réseau)"</formula>
    </cfRule>
    <cfRule type="cellIs" priority="27" operator="notBetween" aboveAverage="0" equalAverage="0" bottom="0" percent="0" rank="0" text="" dxfId="30">
      <formula>"(Dossier, type réseau)"</formula>
      <formula>"(Dossier, type réseau)"</formula>
    </cfRule>
  </conditionalFormatting>
  <dataValidations count="10">
    <dataValidation allowBlank="false" error="Veuillez sélectionner Cf. dans la liste déroulante" errorStyle="stop" errorTitle="ATTENTION" operator="between" showDropDown="false" showErrorMessage="true" showInputMessage="true" sqref="AA23:AA82" type="list">
      <formula1>Cf.</formula1>
      <formula2>0</formula2>
    </dataValidation>
    <dataValidation allowBlank="true" error="saisir un nombre compris entre 0 et 100 %" errorStyle="stop" operator="between" showDropDown="false" showErrorMessage="true" showInputMessage="tru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tru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tru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D23:D82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true" sqref="B6:C6" type="list">
      <formula1>type_courant</formula1>
      <formula2>0</formula2>
    </dataValidation>
    <dataValidation allowBlank="true" error="saisir un nombre entier compris entre 0 et 100 %" errorStyle="stop" operator="between" showDropDown="false" showErrorMessage="false" showInputMessage="true" sqref="E20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true" sqref="E18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true" sqref="B10:C10" type="list">
      <formula1>periphyton</formula1>
      <formula2>0</formula2>
    </dataValidation>
    <dataValidation allowBlank="true" errorStyle="stop" operator="between" showDropDown="false" showErrorMessage="false" showInputMessage="true" sqref="A23:A82" type="list">
      <formula1>noms_taxons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1388888888889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Affichage">
              <controlPr defaultSize="0" print="true" autoFill="0" autoPict="0">
                <anchor moveWithCells="true" sizeWithCells="false">
                  <from>
                    <xdr:col>22</xdr:col>
                    <xdr:colOff>9360</xdr:colOff>
                    <xdr:row>7</xdr:row>
                    <xdr:rowOff>148680</xdr:rowOff>
                  </from>
                  <to>
                    <xdr:col>23</xdr:col>
                    <xdr:colOff>-205200</xdr:colOff>
                    <xdr:row>9</xdr:row>
                    <xdr:rowOff>72720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Retournotice">
              <controlPr defaultSize="0" print="true" autoFill="0" autoPict="0">
                <anchor moveWithCells="true" sizeWithCells="false">
                  <from>
                    <xdr:col>22</xdr:col>
                    <xdr:colOff>9360</xdr:colOff>
                    <xdr:row>6</xdr:row>
                    <xdr:rowOff>72360</xdr:rowOff>
                  </from>
                  <to>
                    <xdr:col>23</xdr:col>
                    <xdr:colOff>-205200</xdr:colOff>
                    <xdr:row>7</xdr:row>
                    <xdr:rowOff>158040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Newfeuille">
              <controlPr defaultSize="0" print="true" autoFill="0" autoPict="0">
                <anchor moveWithCells="true" sizeWithCells="false">
                  <from>
                    <xdr:col>22</xdr:col>
                    <xdr:colOff>0</xdr:colOff>
                    <xdr:row>0</xdr:row>
                    <xdr:rowOff>9360</xdr:rowOff>
                  </from>
                  <to>
                    <xdr:col>23</xdr:col>
                    <xdr:colOff>-195480</xdr:colOff>
                    <xdr:row>1</xdr:row>
                    <xdr:rowOff>91440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Recapitu">
              <controlPr defaultSize="0" print="true" autoFill="0" autoPict="0">
                <anchor moveWithCells="true" sizeWithCells="false">
                  <from>
                    <xdr:col>22</xdr:col>
                    <xdr:colOff>0</xdr:colOff>
                    <xdr:row>1</xdr:row>
                    <xdr:rowOff>82080</xdr:rowOff>
                  </from>
                  <to>
                    <xdr:col>23</xdr:col>
                    <xdr:colOff>-195480</xdr:colOff>
                    <xdr:row>2</xdr:row>
                    <xdr:rowOff>158040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Calcul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0</xdr:row>
                    <xdr:rowOff>38160</xdr:rowOff>
                  </from>
                  <to>
                    <xdr:col>24</xdr:col>
                    <xdr:colOff>-211680</xdr:colOff>
                    <xdr:row>1</xdr:row>
                    <xdr:rowOff>101160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robust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1</xdr:row>
                    <xdr:rowOff>53280</xdr:rowOff>
                  </from>
                  <to>
                    <xdr:col>24</xdr:col>
                    <xdr:colOff>-202320</xdr:colOff>
                    <xdr:row>2</xdr:row>
                    <xdr:rowOff>138600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Trinom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3</xdr:row>
                    <xdr:rowOff>34560</xdr:rowOff>
                  </from>
                  <to>
                    <xdr:col>24</xdr:col>
                    <xdr:colOff>-211680</xdr:colOff>
                    <xdr:row>4</xdr:row>
                    <xdr:rowOff>120240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Trigroupe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4</xdr:row>
                    <xdr:rowOff>91440</xdr:rowOff>
                  </from>
                  <to>
                    <xdr:col>24</xdr:col>
                    <xdr:colOff>-211680</xdr:colOff>
                    <xdr:row>5</xdr:row>
                    <xdr:rowOff>158040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TriCSi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5</xdr:row>
                    <xdr:rowOff>139320</xdr:rowOff>
                  </from>
                  <to>
                    <xdr:col>24</xdr:col>
                    <xdr:colOff>-211680</xdr:colOff>
                    <xdr:row>7</xdr:row>
                    <xdr:rowOff>63000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TriEi">
              <controlPr defaultSize="0" print="true" autoFill="0" autoPict="0">
                <anchor moveWithCells="true" sizeWithCells="false">
                  <from>
                    <xdr:col>23</xdr:col>
                    <xdr:colOff>76320</xdr:colOff>
                    <xdr:row>7</xdr:row>
                    <xdr:rowOff>43560</xdr:rowOff>
                  </from>
                  <to>
                    <xdr:col>24</xdr:col>
                    <xdr:colOff>-211680</xdr:colOff>
                    <xdr:row>8</xdr:row>
                    <xdr:rowOff>129240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ajout">
              <controlPr defaultSize="0" print="true" autoFill="0" autoPict="0">
                <anchor moveWithCells="true" sizeWithCells="false">
                  <from>
                    <xdr:col>22</xdr:col>
                    <xdr:colOff>419040</xdr:colOff>
                    <xdr:row>60</xdr:row>
                    <xdr:rowOff>91440</xdr:rowOff>
                  </from>
                  <to>
                    <xdr:col>23</xdr:col>
                    <xdr:colOff>304920</xdr:colOff>
                    <xdr:row>89</xdr:row>
                    <xdr:rowOff>15120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ArchivageSandre">
              <controlPr defaultSize="0" print="true" autoFill="0" autoPict="0">
                <anchor moveWithCells="true" sizeWithCells="false">
                  <from>
                    <xdr:col>22</xdr:col>
                    <xdr:colOff>0</xdr:colOff>
                    <xdr:row>2</xdr:row>
                    <xdr:rowOff>148320</xdr:rowOff>
                  </from>
                  <to>
                    <xdr:col>23</xdr:col>
                    <xdr:colOff>-195480</xdr:colOff>
                    <xdr:row>4</xdr:row>
                    <xdr:rowOff>72360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ArchivageSansCdSandre">
              <controlPr defaultSize="0" print="true" autoFill="0" autoPict="0">
                <anchor moveWithCells="true" sizeWithCells="false">
                  <from>
                    <xdr:col>22</xdr:col>
                    <xdr:colOff>0</xdr:colOff>
                    <xdr:row>4</xdr:row>
                    <xdr:rowOff>63000</xdr:rowOff>
                  </from>
                  <to>
                    <xdr:col>23</xdr:col>
                    <xdr:colOff>-195480</xdr:colOff>
                    <xdr:row>5</xdr:row>
                    <xdr:rowOff>129600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2014-05-26T11:19:01Z</dcterms:created>
  <dc:creator>Laurent Bourgoin</dc:creator>
  <dc:description/>
  <dc:language>fr-FR</dc:language>
  <cp:lastModifiedBy>IMBERT Loïc</cp:lastModifiedBy>
  <dcterms:modified xsi:type="dcterms:W3CDTF">2014-05-26T13:50:55Z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