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ez-Taulignan" sheetId="1" state="visible" r:id="rId3"/>
  </sheets>
  <externalReferences>
    <externalReference r:id="rId4"/>
  </externalReferences>
  <definedNames>
    <definedName function="false" hidden="false" localSheetId="0" name="_xlnm.Print_Area" vbProcedure="false">'Lez-Taulignan'!$A$1:$O$82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'Lez-Taulignan'!$A$23:$J$84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<sst xmlns="http://schemas.openxmlformats.org/spreadsheetml/2006/main" count="90" uniqueCount="86">
  <si>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</si>
  <si>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</si>
  <si>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</si>
  <si>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</si>
  <si>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</si>
  <si>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Lez</t>
  </si>
  <si>
    <t xml:space="preserve">Taulignan</t>
  </si>
  <si>
    <t xml:space="preserve">06117220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</si>
  <si>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</si>
  <si>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</si>
  <si>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</si>
  <si>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</si>
  <si>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</si>
  <si>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</si>
  <si>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</si>
  <si>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SPI.SPX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</si>
  <si>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</si>
  <si>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</si>
  <si>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</si>
  <si>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</si>
  <si>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</si>
  <si>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</si>
  <si>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</si>
  <si>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</si>
  <si>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</si>
  <si>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</si>
  <si>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</si>
  <si>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</si>
  <si>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</si>
  <si>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</si>
  <si>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</si>
  <si>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</si>
  <si>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</si>
  <si>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</si>
  <si>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</si>
  <si>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</si>
  <si>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</si>
  <si>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</si>
  <si>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</si>
  <si>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</si>
  <si>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</si>
  <si>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</si>
  <si>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</si>
  <si>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</si>
  <si>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</si>
  <si>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</si>
  <si>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</si>
  <si>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</si>
  <si>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</si>
  <si>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</si>
  <si>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</si>
  <si>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</si>
  <si>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</si>
  <si>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</si>
  <si>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</si>
  <si>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</si>
  <si>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</si>
  <si>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</si>
  <si>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</si>
  <si>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</si>
  <si>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</si>
  <si>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</si>
  <si>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</si>
  <si>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</si>
  <si>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</si>
  <si>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</si>
  <si>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</si>
  <si>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</si>
  <si>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</si>
  <si>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</si>
  <si>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</si>
  <si>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</si>
  <si>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</si>
  <si>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CHA.SPX</t>
  </si>
  <si>
    <t xml:space="preserve">EQU.PAL</t>
  </si>
  <si>
    <t xml:space="preserve">AGR.STO</t>
  </si>
  <si>
    <t xml:space="preserve">SCP.HOL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</si>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</sst>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40018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10</v>
      </c>
      <c r="M5" s="52"/>
      <c r="N5" s="53" t="s">
        <v>15</v>
      </c>
      <c r="O5" s="54" t="n">
        <v>10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10</v>
      </c>
      <c r="O8" s="83" t="n">
        <f aca="false">AVERAGE(J23:J82)</f>
        <v>1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0</v>
      </c>
      <c r="O9" s="83" t="n">
        <f aca="false">STDEV(J23:J82)</f>
        <v>0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10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10</v>
      </c>
      <c r="O11" s="106" t="n">
        <f aca="false">MAX(J23:J82)</f>
        <v>1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0.02</v>
      </c>
      <c r="C12" s="118"/>
      <c r="D12" s="110"/>
      <c r="E12" s="110"/>
      <c r="F12" s="111" t="n">
        <f aca="false">($B12*$B$7+$C12*$C$7)/100</f>
        <v>0.02</v>
      </c>
      <c r="G12" s="119"/>
      <c r="H12" s="67"/>
      <c r="I12" s="120" t="s">
        <v>36</v>
      </c>
      <c r="J12" s="120"/>
      <c r="K12" s="114" t="n">
        <f aca="false">COUNTIF($G$23:$G$82,"=ALG")</f>
        <v>2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</v>
      </c>
      <c r="C13" s="118"/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0</v>
      </c>
      <c r="L13" s="115"/>
      <c r="M13" s="125" t="s">
        <v>39</v>
      </c>
      <c r="N13" s="126" t="n">
        <f aca="false">COUNTIF(F23:F82,"&gt;0")</f>
        <v>5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3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0.02</v>
      </c>
      <c r="C15" s="133"/>
      <c r="D15" s="110"/>
      <c r="E15" s="110"/>
      <c r="F15" s="111" t="n">
        <f aca="false">($B15*$B$7+$C15*$C$7)/100</f>
        <v>0.02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0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0.03</v>
      </c>
      <c r="C17" s="118"/>
      <c r="D17" s="110"/>
      <c r="E17" s="110"/>
      <c r="F17" s="140"/>
      <c r="G17" s="111" t="n">
        <f aca="false">($B17*$B$7+$C17*$C$7)/100</f>
        <v>0.03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0.02</v>
      </c>
      <c r="C18" s="143"/>
      <c r="D18" s="110"/>
      <c r="E18" s="144" t="s">
        <v>51</v>
      </c>
      <c r="F18" s="140"/>
      <c r="G18" s="111" t="n">
        <f aca="false">($B18*$B$7+$C18*$C$7)/100</f>
        <v>0.02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0.05</v>
      </c>
      <c r="G19" s="152" t="n">
        <f aca="false">SUM(G16:G18)</f>
        <v>0.05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0.05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0.05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0.05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0.05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15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Spirogyra sp.      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Spirogyra sp.      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10</v>
      </c>
      <c r="S23" s="208" t="n">
        <f aca="false">IF(ISERROR(Q23*I23*J23),0,Q23*I23*J23)</f>
        <v>10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SPI.SPX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70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73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Chara sp.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str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/>
      </c>
      <c r="J24" s="203" t="str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/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Chara sp.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0</v>
      </c>
      <c r="S24" s="208" t="n">
        <f aca="false">IF(ISERROR(Q24*I24*J24),0,Q24*I24*J24)</f>
        <v>0</v>
      </c>
      <c r="T24" s="223" t="n">
        <f aca="false">IF(ISERROR(Q24*J24),0,Q24*J24)</f>
        <v>0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CHA.SPX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19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74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Equisetum palustre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PTE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6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Equisetum palustre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10</v>
      </c>
      <c r="S25" s="208" t="n">
        <f aca="false">IF(ISERROR(Q25*I25*J25),0,Q25*I25*J25)</f>
        <v>10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EQU.PAL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282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75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Agrostis stolonifera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PHe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8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Agrostis stolonifera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AGR.STO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520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Scirpoides holoschoenus        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PHe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8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Scirpoides holoschoenus        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SCP.HOL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668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/>
      <c r="B28" s="215"/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/>
      </c>
      <c r="E28" s="217" t="n">
        <f aca="false">IF(D28="",0,VLOOKUP(D28,D$22:D27,1,0))</f>
        <v>0</v>
      </c>
      <c r="F28" s="218" t="n">
        <f aca="false">($B28*$B$7+$C28*$C$7)/100</f>
        <v>0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/>
      </c>
      <c r="H28" s="201" t="str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x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/>
      </c>
      <c r="L28" s="222"/>
      <c r="M28" s="222"/>
      <c r="N28" s="222"/>
      <c r="O28" s="206"/>
      <c r="P28" s="207" t="str">
        <f aca="false">IF(ISTEXT(H28),"",(B28*$B$7/100)+(C28*$C$7/100))</f>
        <v/>
      </c>
      <c r="Q28" s="208" t="str">
        <f aca="false">IF(OR(ISTEXT(H28),P28=0),"",IF(P28&lt;0.1,1,IF(P28&lt;1,2,IF(P28&lt;10,3,IF(P28&lt;50,4,IF(P28&gt;=50,5,""))))))</f>
        <v/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/>
      </c>
      <c r="Y28" s="9" t="str">
        <f aca="false">IF(ISERROR(MATCH(A28,'[1]liste reference'!$A$7:$A$906,0)),IF(ISERROR(MATCH(A28,'[1]liste reference'!$B$7:$B$906,0)),"",(MATCH(A28,'[1]liste reference'!$B$7:$B$906,0))),(MATCH(A28,'[1]liste reference'!$A$7:$A$906,0)))</f>
        <v/>
      </c>
      <c r="Z28" s="212"/>
      <c r="AA28" s="213"/>
      <c r="BB28" s="9" t="str">
        <f aca="false">IF(A28="","",1)</f>
        <v/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77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Lez</v>
      </c>
      <c r="B84" s="247" t="str">
        <f aca="false">C3</f>
        <v>Taulignan</v>
      </c>
      <c r="C84" s="248" t="n">
        <f aca="false">A4</f>
        <v>40018</v>
      </c>
      <c r="D84" s="249" t="n">
        <f aca="false">IF(ISERROR(SUM($S$23:$S$82)/SUM($T$23:$T$82)),"",SUM($S$23:$S$82)/SUM($T$23:$T$82))</f>
        <v>10</v>
      </c>
      <c r="E84" s="250" t="n">
        <f aca="false">N13</f>
        <v>5</v>
      </c>
      <c r="F84" s="247" t="n">
        <f aca="false">N14</f>
        <v>3</v>
      </c>
      <c r="G84" s="247" t="n">
        <f aca="false">N15</f>
        <v>3</v>
      </c>
      <c r="H84" s="247" t="n">
        <f aca="false">N16</f>
        <v>0</v>
      </c>
      <c r="I84" s="247" t="n">
        <f aca="false">N17</f>
        <v>0</v>
      </c>
      <c r="J84" s="251" t="n">
        <f aca="false">N8</f>
        <v>10</v>
      </c>
      <c r="K84" s="249" t="n">
        <f aca="false">N9</f>
        <v>0</v>
      </c>
      <c r="L84" s="250" t="n">
        <f aca="false">N10</f>
        <v>10</v>
      </c>
      <c r="M84" s="250" t="n">
        <f aca="false">N11</f>
        <v>10</v>
      </c>
      <c r="N84" s="249" t="n">
        <f aca="false">O8</f>
        <v>1</v>
      </c>
      <c r="O84" s="249" t="n">
        <f aca="false">O9</f>
        <v>0</v>
      </c>
      <c r="P84" s="250" t="n">
        <f aca="false">O10</f>
        <v>1</v>
      </c>
      <c r="Q84" s="250" t="n">
        <f aca="false">O11</f>
        <v>1</v>
      </c>
      <c r="R84" s="252" t="n">
        <f aca="false">F21</f>
        <v>0.05</v>
      </c>
      <c r="S84" s="250" t="n">
        <f aca="false">K11</f>
        <v>0</v>
      </c>
      <c r="T84" s="250" t="n">
        <f aca="false">K12</f>
        <v>2</v>
      </c>
      <c r="U84" s="250" t="n">
        <f aca="false">K13</f>
        <v>0</v>
      </c>
      <c r="V84" s="253" t="n">
        <f aca="false">K14</f>
        <v>1</v>
      </c>
      <c r="W84" s="254" t="n">
        <f aca="false">K15</f>
        <v>2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78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79</v>
      </c>
      <c r="Q87" s="9"/>
      <c r="R87" s="209" t="n">
        <f aca="false">VLOOKUP(MAX($R$23:$R$82),($R$23:$T$82),1,0)</f>
        <v>10</v>
      </c>
      <c r="S87" s="9"/>
      <c r="T87" s="9"/>
      <c r="U87" s="9"/>
    </row>
    <row r="88" customFormat="false" ht="12.75" hidden="true" customHeight="false" outlineLevel="0" collapsed="false">
      <c r="P88" s="9" t="s">
        <v>80</v>
      </c>
      <c r="Q88" s="9"/>
      <c r="R88" s="209" t="n">
        <f aca="false">VLOOKUP((R87),($R$23:$T$82),2,0)</f>
        <v>10</v>
      </c>
      <c r="S88" s="9"/>
      <c r="T88" s="9"/>
      <c r="U88" s="9"/>
    </row>
    <row r="89" customFormat="false" ht="12.75" hidden="true" customHeight="false" outlineLevel="0" collapsed="false">
      <c r="P89" s="9" t="s">
        <v>81</v>
      </c>
      <c r="Q89" s="9"/>
      <c r="R89" s="209" t="n">
        <f aca="false">VLOOKUP((R87),($R$23:$T$82),3,0)</f>
        <v>1</v>
      </c>
      <c r="S89" s="9"/>
    </row>
    <row r="90" customFormat="false" ht="12.75" hidden="true" customHeight="false" outlineLevel="0" collapsed="false">
      <c r="P90" s="9" t="s">
        <v>82</v>
      </c>
      <c r="Q90" s="9"/>
      <c r="R90" s="257" t="n">
        <f aca="false">IF(ISERROR(SUM($S$23:$S$82)/SUM($T$23:$T$82)),"",(SUM($S$23:$S$82)-R88)/(SUM($T$23:$T$82)-R89))</f>
        <v>10</v>
      </c>
      <c r="S90" s="9"/>
    </row>
    <row r="91" customFormat="false" ht="12.75" hidden="true" customHeight="false" outlineLevel="0" collapsed="false">
      <c r="P91" s="208" t="s">
        <v>83</v>
      </c>
      <c r="Q91" s="208"/>
      <c r="R91" s="208" t="str">
        <f aca="false">INDEX('[1]liste reference'!$A$7:$A$906,$S$91)</f>
        <v>SPI.SPX</v>
      </c>
      <c r="S91" s="9" t="n">
        <f aca="false">IF(ISERROR(MATCH($R$93,'[1]liste reference'!$A$7:$A$906,0)),MATCH($R$93,'[1]liste reference'!$B$7:$B$906,0),(MATCH($R$93,'[1]liste reference'!$A$7:$A$906,0)))</f>
        <v>70</v>
      </c>
      <c r="T91" s="245"/>
    </row>
    <row r="92" customFormat="false" ht="12.75" hidden="true" customHeight="false" outlineLevel="0" collapsed="false">
      <c r="P92" s="9" t="s">
        <v>84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85</v>
      </c>
      <c r="Q93" s="9"/>
      <c r="R93" s="208" t="str">
        <f aca="false">INDEX($A$23:$A$82,$R$92)</f>
        <v>SPI.SPX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2013-10-22T15:24:39Z</dcterms:created>
  <dc:creator>elise.carnet</dc:creator>
  <dc:description/>
  <dc:language>fr-FR</dc:language>
  <cp:lastModifiedBy>elise.carnet</cp:lastModifiedBy>
  <dcterms:modified xsi:type="dcterms:W3CDTF">2013-10-22T15:24:53Z</dcterms:modified>
  <cp:revision>0</cp:revision>
  <dc:subject/>
  <dc:title/>
</cp:coreProperties>
</file>