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eyne-Orange" sheetId="1" state="visible" r:id="rId3"/>
  </sheets>
  <externalReferences>
    <externalReference r:id="rId4"/>
  </externalReferences>
  <definedNames>
    <definedName function="false" hidden="false" localSheetId="0" name="_xlnm.Print_Area" vbProcedure="false">'Meyne-Orange'!$A$1:$O$82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'Meyne-Orange'!$A$23:$J$84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<sst xmlns="http://schemas.openxmlformats.org/spreadsheetml/2006/main" count="96" uniqueCount="92">
  <si>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</si>
  <si>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</si>
  <si>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</si>
  <si>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</si>
  <si>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</si>
  <si>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Meyne</t>
  </si>
  <si>
    <t xml:space="preserve">Orange</t>
  </si>
  <si>
    <t xml:space="preserve">06118000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</si>
  <si>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</si>
  <si>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</si>
  <si>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</si>
  <si>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</si>
  <si>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</si>
  <si>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</si>
  <si>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</si>
  <si>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GRO.DEN</t>
  </si>
  <si>
    <t xml:space="preserve">Type de faciès</t>
  </si>
  <si>
    <t xml:space="preserve">pl. lent</t>
  </si>
  <si>
    <t xml:space="preserve">niv. trophique:</t>
  </si>
  <si>
    <t xml:space="preserve">fort</t>
  </si>
  <si>
    <t xml:space="preserve">(très élevé)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</si>
  <si>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</si>
  <si>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</si>
  <si>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</si>
  <si>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</si>
  <si>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</si>
  <si>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</si>
  <si>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</si>
  <si>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</si>
  <si>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</si>
  <si>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</si>
  <si>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</si>
  <si>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</si>
  <si>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</si>
  <si>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</si>
  <si>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</si>
  <si>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</si>
  <si>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</si>
  <si>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</si>
  <si>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</si>
  <si>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</si>
  <si>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</si>
  <si>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</si>
  <si>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</si>
  <si>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</si>
  <si>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</si>
  <si>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</si>
  <si>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</si>
  <si>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</si>
  <si>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</si>
  <si>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</si>
  <si>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</si>
  <si>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</si>
  <si>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</si>
  <si>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</si>
  <si>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</si>
  <si>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</si>
  <si>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</si>
  <si>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</si>
  <si>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</si>
  <si>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</si>
  <si>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</si>
  <si>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</si>
  <si>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</si>
  <si>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</si>
  <si>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</si>
  <si>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</si>
  <si>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</si>
  <si>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</si>
  <si>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</si>
  <si>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</si>
  <si>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</si>
  <si>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</si>
  <si>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CAL.PAL</t>
  </si>
  <si>
    <t xml:space="preserve">CAL.SPX</t>
  </si>
  <si>
    <t xml:space="preserve">POT.ACU</t>
  </si>
  <si>
    <t xml:space="preserve">POT.PEC</t>
  </si>
  <si>
    <t xml:space="preserve">ELO.CAN</t>
  </si>
  <si>
    <t xml:space="preserve">POT.CRI</t>
  </si>
  <si>
    <t xml:space="preserve">PHR.AUS</t>
  </si>
  <si>
    <t xml:space="preserve">POL.HYD</t>
  </si>
  <si>
    <t xml:space="preserve">NAS.OFF</t>
  </si>
  <si>
    <t xml:space="preserve">MYR.SPI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</si>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</sst>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7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7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7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99360</xdr:rowOff>
    </xdr:to>
    <xdr:grpSp>
      <xdr:nvGrpSpPr>
        <xdr:cNvPr id="1" name="Group 7"/>
        <xdr:cNvGrpSpPr/>
      </xdr:nvGrpSpPr>
      <xdr:grpSpPr>
        <a:xfrm>
          <a:off x="8025480" y="9360"/>
          <a:ext cx="941760" cy="451800"/>
          <a:chOff x="8025480" y="9360"/>
          <a:chExt cx="941760" cy="45180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3-IBMR-RCS-pertinence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Buech-Serres"/><sheetName val="Buech-Ribiers"/><sheetName val="Coulon-Oppede"/><sheetName val="Sorgue-Isle-Sorgue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40017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8.09375</v>
      </c>
      <c r="M5" s="52"/>
      <c r="N5" s="53" t="s">
        <v>15</v>
      </c>
      <c r="O5" s="54" t="n">
        <v>7.42307692307692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/>
      <c r="C6" s="57" t="s">
        <v>17</v>
      </c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/>
      <c r="C7" s="66" t="n">
        <v>100</v>
      </c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8.66666666666667</v>
      </c>
      <c r="O8" s="83" t="n">
        <f aca="false">AVERAGE(J23:J82)</f>
        <v>2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3</v>
      </c>
      <c r="O9" s="83" t="n">
        <f aca="false">STDEV(J23:J82)</f>
        <v>0.5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2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/>
      <c r="C11" s="109" t="n">
        <v>0</v>
      </c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12</v>
      </c>
      <c r="O11" s="106" t="n">
        <f aca="false">MAX(J23:J82)</f>
        <v>3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/>
      <c r="C12" s="118" t="n">
        <v>0</v>
      </c>
      <c r="D12" s="110"/>
      <c r="E12" s="110"/>
      <c r="F12" s="111" t="n">
        <f aca="false">($B12*$B$7+$C12*$C$7)/100</f>
        <v>0</v>
      </c>
      <c r="G12" s="119"/>
      <c r="H12" s="67"/>
      <c r="I12" s="120" t="s">
        <v>36</v>
      </c>
      <c r="J12" s="120"/>
      <c r="K12" s="114" t="n">
        <f aca="false">COUNTIF($G$23:$G$82,"=ALG")</f>
        <v>0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/>
      <c r="C13" s="118" t="n">
        <v>0</v>
      </c>
      <c r="D13" s="110"/>
      <c r="E13" s="110"/>
      <c r="F13" s="111" t="n">
        <f aca="false">($B13*$B$7+$C13*$C$7)/100</f>
        <v>0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0</v>
      </c>
      <c r="L13" s="115"/>
      <c r="M13" s="125" t="s">
        <v>39</v>
      </c>
      <c r="N13" s="126" t="n">
        <f aca="false">COUNTIF(F23:F82,"&gt;0")</f>
        <v>11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/>
      <c r="C14" s="118" t="n">
        <v>0</v>
      </c>
      <c r="D14" s="110"/>
      <c r="E14" s="110"/>
      <c r="F14" s="111" t="n">
        <f aca="false">($B14*$B$7+$C14*$C$7)/100</f>
        <v>0</v>
      </c>
      <c r="G14" s="119"/>
      <c r="H14" s="67"/>
      <c r="I14" s="120" t="s">
        <v>41</v>
      </c>
      <c r="J14" s="120"/>
      <c r="K14" s="114" t="n">
        <f aca="false">COUNTIF($G$23:$G$82,"=PTE")</f>
        <v>0</v>
      </c>
      <c r="L14" s="115"/>
      <c r="M14" s="128" t="s">
        <v>42</v>
      </c>
      <c r="N14" s="129" t="n">
        <f aca="false">COUNTIF($I$23:$I$82,"&gt;-1")</f>
        <v>9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/>
      <c r="C15" s="133" t="n">
        <v>15.25</v>
      </c>
      <c r="D15" s="110"/>
      <c r="E15" s="110"/>
      <c r="F15" s="111" t="n">
        <f aca="false">($B15*$B$7+$C15*$C$7)/100</f>
        <v>15.25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11</v>
      </c>
      <c r="L15" s="115"/>
      <c r="M15" s="134" t="s">
        <v>45</v>
      </c>
      <c r="N15" s="135" t="n">
        <f aca="false">COUNTIF(J23:J82,"=1")</f>
        <v>1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/>
      <c r="C16" s="109" t="n">
        <v>0</v>
      </c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7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/>
      <c r="C17" s="118" t="n">
        <v>15.17</v>
      </c>
      <c r="D17" s="110"/>
      <c r="E17" s="110"/>
      <c r="F17" s="140"/>
      <c r="G17" s="111" t="n">
        <f aca="false">($B17*$B$7+$C17*$C$7)/100</f>
        <v>15.17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1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/>
      <c r="C18" s="143" t="n">
        <v>0.08</v>
      </c>
      <c r="D18" s="110"/>
      <c r="E18" s="144" t="s">
        <v>51</v>
      </c>
      <c r="F18" s="140"/>
      <c r="G18" s="111" t="n">
        <f aca="false">($B18*$B$7+$C18*$C$7)/100</f>
        <v>0.08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15.25</v>
      </c>
      <c r="G19" s="152" t="n">
        <f aca="false">SUM(G16:G18)</f>
        <v>15.25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0</v>
      </c>
      <c r="C20" s="161" t="n">
        <f aca="false">SUM(C23:C82)</f>
        <v>15.25</v>
      </c>
      <c r="D20" s="162"/>
      <c r="E20" s="163" t="s">
        <v>51</v>
      </c>
      <c r="F20" s="164" t="n">
        <f aca="false">($B20*$B$7+$C20*$C$7)/100</f>
        <v>15.25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0</v>
      </c>
      <c r="C21" s="173" t="n">
        <f aca="false">C20*C7/100</f>
        <v>15.25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15.25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/>
      <c r="C23" s="197" t="n">
        <v>0.01</v>
      </c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Callitriche palustris</v>
      </c>
      <c r="E23" s="198" t="e">
        <f aca="false">IF(D23="",0,VLOOKUP(D23,D$22:D22,1,0))</f>
        <v>#N/A</v>
      </c>
      <c r="F23" s="199" t="n">
        <f aca="false">($B23*$B$7+$C23*$C$7)/100</f>
        <v>0.01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PHy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7</v>
      </c>
      <c r="I23" s="202" t="str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/>
      </c>
      <c r="J23" s="203" t="str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/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Callitriche palustris</v>
      </c>
      <c r="L23" s="205"/>
      <c r="M23" s="205"/>
      <c r="N23" s="205"/>
      <c r="O23" s="206"/>
      <c r="P23" s="207" t="n">
        <f aca="false">IF(ISTEXT(H23),"",(B23*$B$7/100)+(C23*$C$7/100))</f>
        <v>0.01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0</v>
      </c>
      <c r="S23" s="208" t="n">
        <f aca="false">IF(ISERROR(Q23*I23*J23),0,Q23*I23*J23)</f>
        <v>0</v>
      </c>
      <c r="T23" s="208" t="n">
        <f aca="false">IF(ISERROR(Q23*J23),0,Q23*J23)</f>
        <v>0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CAL.PAL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325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/>
      <c r="C24" s="216" t="n">
        <v>0.01</v>
      </c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Callitiriche sp.        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PHy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7</v>
      </c>
      <c r="I24" s="220" t="str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/>
      </c>
      <c r="J24" s="203" t="str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/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Callitiriche sp.        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0</v>
      </c>
      <c r="S24" s="208" t="n">
        <f aca="false">IF(ISERROR(Q24*I24*J24),0,Q24*I24*J24)</f>
        <v>0</v>
      </c>
      <c r="T24" s="223" t="n">
        <f aca="false">IF(ISERROR(Q24*J24),0,Q24*J24)</f>
        <v>0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CAL.SPX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314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75</v>
      </c>
      <c r="B25" s="215"/>
      <c r="C25" s="216" t="n">
        <v>0.01</v>
      </c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Potamogeton acutifolius       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PHy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7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12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3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Potamogeton acutifolius       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12</v>
      </c>
      <c r="S25" s="208" t="n">
        <f aca="false">IF(ISERROR(Q25*I25*J25),0,Q25*I25*J25)</f>
        <v>36</v>
      </c>
      <c r="T25" s="223" t="n">
        <f aca="false">IF(ISERROR(Q25*J25),0,Q25*J25)</f>
        <v>3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POT.ACU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408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76</v>
      </c>
      <c r="B26" s="215"/>
      <c r="C26" s="216" t="n">
        <v>6</v>
      </c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Potamogeton pectinatus    </v>
      </c>
      <c r="E26" s="217" t="e">
        <f aca="false">IF(D26="",0,VLOOKUP(D26,D$22:D25,1,0))</f>
        <v>#N/A</v>
      </c>
      <c r="F26" s="218" t="n">
        <f aca="false">($B26*$B$7+$C26*$C$7)/100</f>
        <v>6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PHy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7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2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2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Potamogeton pectinatus    </v>
      </c>
      <c r="L26" s="222"/>
      <c r="M26" s="222"/>
      <c r="N26" s="222"/>
      <c r="O26" s="206"/>
      <c r="P26" s="207" t="n">
        <f aca="false">IF(ISTEXT(H26),"",(B26*$B$7/100)+(C26*$C$7/100))</f>
        <v>6</v>
      </c>
      <c r="Q26" s="208" t="n">
        <f aca="false">IF(OR(ISTEXT(H26),P26=0),"",IF(P26&lt;0.1,1,IF(P26&lt;1,2,IF(P26&lt;10,3,IF(P26&lt;50,4,IF(P26&gt;=50,5,""))))))</f>
        <v>3</v>
      </c>
      <c r="R26" s="208" t="n">
        <f aca="false">IF(ISERROR(Q26*I26),0,Q26*I26)</f>
        <v>6</v>
      </c>
      <c r="S26" s="208" t="n">
        <f aca="false">IF(ISERROR(Q26*I26*J26),0,Q26*I26*J26)</f>
        <v>12</v>
      </c>
      <c r="T26" s="223" t="n">
        <f aca="false">IF(ISERROR(Q26*J26),0,Q26*J26)</f>
        <v>6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POT.PEC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425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77</v>
      </c>
      <c r="B27" s="215"/>
      <c r="C27" s="216" t="n">
        <v>0.4</v>
      </c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Elodea canadensis</v>
      </c>
      <c r="E27" s="217" t="e">
        <f aca="false">IF(D27="",0,VLOOKUP(D27,D$22:D26,1,0))</f>
        <v>#N/A</v>
      </c>
      <c r="F27" s="218" t="n">
        <f aca="false">($B27*$B$7+$C27*$C$7)/100</f>
        <v>0.4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PHy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7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10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2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Elodea canadensis</v>
      </c>
      <c r="L27" s="222"/>
      <c r="M27" s="222"/>
      <c r="N27" s="222"/>
      <c r="O27" s="206"/>
      <c r="P27" s="207" t="n">
        <f aca="false">IF(ISTEXT(H27),"",(B27*$B$7/100)+(C27*$C$7/100))</f>
        <v>0.4</v>
      </c>
      <c r="Q27" s="208" t="n">
        <f aca="false">IF(OR(ISTEXT(H27),P27=0),"",IF(P27&lt;0.1,1,IF(P27&lt;1,2,IF(P27&lt;10,3,IF(P27&lt;50,4,IF(P27&gt;=50,5,""))))))</f>
        <v>2</v>
      </c>
      <c r="R27" s="208" t="n">
        <f aca="false">IF(ISERROR(Q27*I27),0,Q27*I27)</f>
        <v>20</v>
      </c>
      <c r="S27" s="208" t="n">
        <f aca="false">IF(ISERROR(Q27*I27*J27),0,Q27*I27*J27)</f>
        <v>40</v>
      </c>
      <c r="T27" s="223" t="n">
        <f aca="false">IF(ISERROR(Q27*J27),0,Q27*J27)</f>
        <v>4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ELO.CAN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344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78</v>
      </c>
      <c r="B28" s="215"/>
      <c r="C28" s="216" t="n">
        <v>0.4</v>
      </c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Potamogeton crispus</v>
      </c>
      <c r="E28" s="217" t="e">
        <f aca="false">IF(D28="",0,VLOOKUP(D28,D$22:D27,1,0))</f>
        <v>#N/A</v>
      </c>
      <c r="F28" s="218" t="n">
        <f aca="false">($B28*$B$7+$C28*$C$7)/100</f>
        <v>0.4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PHy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7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7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2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Potamogeton crispus</v>
      </c>
      <c r="L28" s="222"/>
      <c r="M28" s="222"/>
      <c r="N28" s="222"/>
      <c r="O28" s="206"/>
      <c r="P28" s="207" t="n">
        <f aca="false">IF(ISTEXT(H28),"",(B28*$B$7/100)+(C28*$C$7/100))</f>
        <v>0.4</v>
      </c>
      <c r="Q28" s="208" t="n">
        <f aca="false">IF(OR(ISTEXT(H28),P28=0),"",IF(P28&lt;0.1,1,IF(P28&lt;1,2,IF(P28&lt;10,3,IF(P28&lt;50,4,IF(P28&gt;=50,5,""))))))</f>
        <v>2</v>
      </c>
      <c r="R28" s="208" t="n">
        <f aca="false">IF(ISERROR(Q28*I28),0,Q28*I28)</f>
        <v>14</v>
      </c>
      <c r="S28" s="208" t="n">
        <f aca="false">IF(ISERROR(Q28*I28*J28),0,Q28*I28*J28)</f>
        <v>28</v>
      </c>
      <c r="T28" s="223" t="n">
        <f aca="false">IF(ISERROR(Q28*J28),0,Q28*J28)</f>
        <v>4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POT.CRI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413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79</v>
      </c>
      <c r="B29" s="215"/>
      <c r="C29" s="216" t="n">
        <v>0.01</v>
      </c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Phragmites australis</v>
      </c>
      <c r="E29" s="217" t="e">
        <f aca="false">IF(D29="",0,VLOOKUP(D29,D$22:D28,1,0))</f>
        <v>#N/A</v>
      </c>
      <c r="F29" s="218" t="n">
        <f aca="false">($B29*$B$7+$C29*$C$7)/100</f>
        <v>0.01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PHe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8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9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2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Phragmites australis</v>
      </c>
      <c r="L29" s="222"/>
      <c r="M29" s="222"/>
      <c r="N29" s="222"/>
      <c r="O29" s="206"/>
      <c r="P29" s="207" t="n">
        <f aca="false">IF(ISTEXT(H29),"",(B29*$B$7/100)+(C29*$C$7/100))</f>
        <v>0.01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9</v>
      </c>
      <c r="S29" s="208" t="n">
        <f aca="false">IF(ISERROR(Q29*I29*J29),0,Q29*I29*J29)</f>
        <v>18</v>
      </c>
      <c r="T29" s="223" t="n">
        <f aca="false">IF(ISERROR(Q29*J29),0,Q29*J29)</f>
        <v>2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PHR.AUS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641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80</v>
      </c>
      <c r="B30" s="215"/>
      <c r="C30" s="216" t="n">
        <v>0.01</v>
      </c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Polygonum hydropiper (Persicaria hydropiper)</v>
      </c>
      <c r="E30" s="217" t="e">
        <f aca="false">IF(D30="",0,VLOOKUP(D30,D$22:D29,1,0))</f>
        <v>#N/A</v>
      </c>
      <c r="F30" s="218" t="n">
        <f aca="false">($B30*$B$7+$C30*$C$7)/100</f>
        <v>0.01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PHe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8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8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2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Polygonum hydropiper (Persicaria hydropiper)</v>
      </c>
      <c r="L30" s="222"/>
      <c r="M30" s="222"/>
      <c r="N30" s="222"/>
      <c r="O30" s="206"/>
      <c r="P30" s="207" t="n">
        <f aca="false">IF(ISTEXT(H30),"",(B30*$B$7/100)+(C30*$C$7/100))</f>
        <v>0.01</v>
      </c>
      <c r="Q30" s="208" t="n">
        <f aca="false">IF(OR(ISTEXT(H30),P30=0),"",IF(P30&lt;0.1,1,IF(P30&lt;1,2,IF(P30&lt;10,3,IF(P30&lt;50,4,IF(P30&gt;=50,5,""))))))</f>
        <v>1</v>
      </c>
      <c r="R30" s="208" t="n">
        <f aca="false">IF(ISERROR(Q30*I30),0,Q30*I30)</f>
        <v>8</v>
      </c>
      <c r="S30" s="208" t="n">
        <f aca="false">IF(ISERROR(Q30*I30*J30),0,Q30*I30*J30)</f>
        <v>16</v>
      </c>
      <c r="T30" s="223" t="n">
        <f aca="false">IF(ISERROR(Q30*J30),0,Q30*J30)</f>
        <v>2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POL.HYD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643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15</v>
      </c>
      <c r="B31" s="215"/>
      <c r="C31" s="216" t="n">
        <v>8.17</v>
      </c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Groenlandia densa (Potamogeton densus)</v>
      </c>
      <c r="E31" s="217" t="e">
        <f aca="false">IF(D31="",0,VLOOKUP(D31,D$21:D30,1,0))</f>
        <v>#N/A</v>
      </c>
      <c r="F31" s="218" t="n">
        <f aca="false">($B31*$B$7+$C31*$C$7)/100</f>
        <v>8.17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PHy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7</v>
      </c>
      <c r="I31" s="220" t="n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>11</v>
      </c>
      <c r="J31" s="203" t="n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>2</v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Groenlandia densa (Potamogeton densus)</v>
      </c>
      <c r="L31" s="222"/>
      <c r="M31" s="222"/>
      <c r="N31" s="222"/>
      <c r="O31" s="206"/>
      <c r="P31" s="207" t="n">
        <f aca="false">IF(ISTEXT(H31),"",(B31*$B$7/100)+(C31*$C$7/100))</f>
        <v>8.17</v>
      </c>
      <c r="Q31" s="208" t="n">
        <f aca="false">IF(OR(ISTEXT(H31),P31=0),"",IF(P31&lt;0.1,1,IF(P31&lt;1,2,IF(P31&lt;10,3,IF(P31&lt;50,4,IF(P31&gt;=50,5,""))))))</f>
        <v>3</v>
      </c>
      <c r="R31" s="208" t="n">
        <f aca="false">IF(ISERROR(Q31*I31),0,Q31*I31)</f>
        <v>33</v>
      </c>
      <c r="S31" s="208" t="n">
        <f aca="false">IF(ISERROR(Q31*I31*J31),0,Q31*I31*J31)</f>
        <v>66</v>
      </c>
      <c r="T31" s="223" t="n">
        <f aca="false">IF(ISERROR(Q31*J31),0,Q31*J31)</f>
        <v>6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GRO.DEN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348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81</v>
      </c>
      <c r="B32" s="215"/>
      <c r="C32" s="216" t="n">
        <v>0.06</v>
      </c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Nasturtium officinale (Rorippa nasturtium-aquaticum)</v>
      </c>
      <c r="E32" s="217" t="e">
        <f aca="false">IF(D32="",0,VLOOKUP(D32,D$22:D31,1,0))</f>
        <v>#N/A</v>
      </c>
      <c r="F32" s="218" t="n">
        <f aca="false">($B32*$B$7+$C32*$C$7)/100</f>
        <v>0.06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PHe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8</v>
      </c>
      <c r="I32" s="220" t="n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>11</v>
      </c>
      <c r="J32" s="203" t="n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>1</v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Nasturtium officinale (Rorippa nasturtium-aquaticum)</v>
      </c>
      <c r="L32" s="222"/>
      <c r="M32" s="222"/>
      <c r="N32" s="222"/>
      <c r="O32" s="206"/>
      <c r="P32" s="207" t="n">
        <f aca="false">IF(ISTEXT(H32),"",(B32*$B$7/100)+(C32*$C$7/100))</f>
        <v>0.06</v>
      </c>
      <c r="Q32" s="208" t="n">
        <f aca="false">IF(OR(ISTEXT(H32),P32=0),"",IF(P32&lt;0.1,1,IF(P32&lt;1,2,IF(P32&lt;10,3,IF(P32&lt;50,4,IF(P32&gt;=50,5,""))))))</f>
        <v>1</v>
      </c>
      <c r="R32" s="208" t="n">
        <f aca="false">IF(ISERROR(Q32*I32),0,Q32*I32)</f>
        <v>11</v>
      </c>
      <c r="S32" s="208" t="n">
        <f aca="false">IF(ISERROR(Q32*I32*J32),0,Q32*I32*J32)</f>
        <v>11</v>
      </c>
      <c r="T32" s="223" t="n">
        <f aca="false">IF(ISERROR(Q32*J32),0,Q32*J32)</f>
        <v>1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NAS.OFF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634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 t="s">
        <v>82</v>
      </c>
      <c r="B33" s="215"/>
      <c r="C33" s="216" t="n">
        <v>0.17</v>
      </c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>Myriophyllum spicatum</v>
      </c>
      <c r="E33" s="217" t="e">
        <f aca="false">IF(D33="",0,VLOOKUP(D33,D$22:D32,1,0))</f>
        <v>#N/A</v>
      </c>
      <c r="F33" s="218" t="n">
        <f aca="false">($B33*$B$7+$C33*$C$7)/100</f>
        <v>0.17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>PHy</v>
      </c>
      <c r="H33" s="201" t="n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7</v>
      </c>
      <c r="I33" s="220" t="n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>8</v>
      </c>
      <c r="J33" s="203" t="n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>2</v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>Myriophyllum spicatum</v>
      </c>
      <c r="L33" s="225"/>
      <c r="M33" s="225"/>
      <c r="N33" s="225"/>
      <c r="O33" s="226"/>
      <c r="P33" s="207" t="n">
        <f aca="false">IF(ISTEXT(H33),"",(B33*$B$7/100)+(C33*$C$7/100))</f>
        <v>0.17</v>
      </c>
      <c r="Q33" s="208" t="n">
        <f aca="false">IF(OR(ISTEXT(H33),P33=0),"",IF(P33&lt;0.1,1,IF(P33&lt;1,2,IF(P33&lt;10,3,IF(P33&lt;50,4,IF(P33&gt;=50,5,""))))))</f>
        <v>2</v>
      </c>
      <c r="R33" s="208" t="n">
        <f aca="false">IF(ISERROR(Q33*I33),0,Q33*I33)</f>
        <v>16</v>
      </c>
      <c r="S33" s="208" t="n">
        <f aca="false">IF(ISERROR(Q33*I33*J33),0,Q33*I33*J33)</f>
        <v>32</v>
      </c>
      <c r="T33" s="223" t="n">
        <f aca="false">IF(ISERROR(Q33*J33),0,Q33*J33)</f>
        <v>4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>MYR.SPI</v>
      </c>
      <c r="Y33" s="9" t="n">
        <f aca="false">IF(ISERROR(MATCH(A33,'[1]liste reference'!$A$7:$A$906,0)),IF(ISERROR(MATCH(A33,'[1]liste reference'!$B$7:$B$906,0)),"",(MATCH(A33,'[1]liste reference'!$B$7:$B$906,0))),(MATCH(A33,'[1]liste reference'!$A$7:$A$906,0)))</f>
        <v>377</v>
      </c>
      <c r="Z33" s="212"/>
      <c r="AA33" s="213"/>
      <c r="BB33" s="9" t="n">
        <f aca="false">IF(A33="","",1)</f>
        <v>1</v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83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Meyne</v>
      </c>
      <c r="B84" s="247" t="str">
        <f aca="false">C3</f>
        <v>Orange</v>
      </c>
      <c r="C84" s="248" t="n">
        <f aca="false">A4</f>
        <v>40017</v>
      </c>
      <c r="D84" s="249" t="n">
        <f aca="false">IF(ISERROR(SUM($S$23:$S$82)/SUM($T$23:$T$82)),"",SUM($S$23:$S$82)/SUM($T$23:$T$82))</f>
        <v>8.09375</v>
      </c>
      <c r="E84" s="250" t="n">
        <f aca="false">N13</f>
        <v>11</v>
      </c>
      <c r="F84" s="247" t="n">
        <f aca="false">N14</f>
        <v>9</v>
      </c>
      <c r="G84" s="247" t="n">
        <f aca="false">N15</f>
        <v>1</v>
      </c>
      <c r="H84" s="247" t="n">
        <f aca="false">N16</f>
        <v>7</v>
      </c>
      <c r="I84" s="247" t="n">
        <f aca="false">N17</f>
        <v>1</v>
      </c>
      <c r="J84" s="251" t="n">
        <f aca="false">N8</f>
        <v>8.66666666666667</v>
      </c>
      <c r="K84" s="249" t="n">
        <f aca="false">N9</f>
        <v>3</v>
      </c>
      <c r="L84" s="250" t="n">
        <f aca="false">N10</f>
        <v>2</v>
      </c>
      <c r="M84" s="250" t="n">
        <f aca="false">N11</f>
        <v>12</v>
      </c>
      <c r="N84" s="249" t="n">
        <f aca="false">O8</f>
        <v>2</v>
      </c>
      <c r="O84" s="249" t="n">
        <f aca="false">O9</f>
        <v>0.5</v>
      </c>
      <c r="P84" s="250" t="n">
        <f aca="false">O10</f>
        <v>1</v>
      </c>
      <c r="Q84" s="250" t="n">
        <f aca="false">O11</f>
        <v>3</v>
      </c>
      <c r="R84" s="252" t="n">
        <f aca="false">F21</f>
        <v>15.25</v>
      </c>
      <c r="S84" s="250" t="n">
        <f aca="false">K11</f>
        <v>0</v>
      </c>
      <c r="T84" s="250" t="n">
        <f aca="false">K12</f>
        <v>0</v>
      </c>
      <c r="U84" s="250" t="n">
        <f aca="false">K13</f>
        <v>0</v>
      </c>
      <c r="V84" s="253" t="n">
        <f aca="false">K14</f>
        <v>0</v>
      </c>
      <c r="W84" s="254" t="n">
        <f aca="false">K15</f>
        <v>11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84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85</v>
      </c>
      <c r="Q87" s="9"/>
      <c r="R87" s="209" t="n">
        <f aca="false">VLOOKUP(MAX($R$23:$R$82),($R$23:$T$82),1,0)</f>
        <v>33</v>
      </c>
      <c r="S87" s="9"/>
      <c r="T87" s="9"/>
      <c r="U87" s="9"/>
    </row>
    <row r="88" customFormat="false" ht="12.75" hidden="true" customHeight="false" outlineLevel="0" collapsed="false">
      <c r="P88" s="9" t="s">
        <v>86</v>
      </c>
      <c r="Q88" s="9"/>
      <c r="R88" s="209" t="n">
        <f aca="false">VLOOKUP((R87),($R$23:$T$82),2,0)</f>
        <v>66</v>
      </c>
      <c r="S88" s="9"/>
      <c r="T88" s="9"/>
      <c r="U88" s="9"/>
    </row>
    <row r="89" customFormat="false" ht="12.75" hidden="true" customHeight="false" outlineLevel="0" collapsed="false">
      <c r="P89" s="9" t="s">
        <v>87</v>
      </c>
      <c r="Q89" s="9"/>
      <c r="R89" s="209" t="n">
        <f aca="false">VLOOKUP((R87),($R$23:$T$82),3,0)</f>
        <v>6</v>
      </c>
      <c r="S89" s="9"/>
    </row>
    <row r="90" customFormat="false" ht="12.75" hidden="true" customHeight="false" outlineLevel="0" collapsed="false">
      <c r="P90" s="9" t="s">
        <v>88</v>
      </c>
      <c r="Q90" s="9"/>
      <c r="R90" s="257" t="n">
        <f aca="false">IF(ISERROR(SUM($S$23:$S$82)/SUM($T$23:$T$82)),"",(SUM($S$23:$S$82)-R88)/(SUM($T$23:$T$82)-R89))</f>
        <v>7.42307692307692</v>
      </c>
      <c r="S90" s="9"/>
    </row>
    <row r="91" customFormat="false" ht="12.75" hidden="true" customHeight="false" outlineLevel="0" collapsed="false">
      <c r="P91" s="208" t="s">
        <v>89</v>
      </c>
      <c r="Q91" s="208"/>
      <c r="R91" s="208" t="str">
        <f aca="false">INDEX('[1]liste reference'!$A$7:$A$906,$S$91)</f>
        <v>GRO.DEN</v>
      </c>
      <c r="S91" s="9" t="n">
        <f aca="false">IF(ISERROR(MATCH($R$93,'[1]liste reference'!$A$7:$A$906,0)),MATCH($R$93,'[1]liste reference'!$B$7:$B$906,0),(MATCH($R$93,'[1]liste reference'!$A$7:$A$906,0)))</f>
        <v>348</v>
      </c>
      <c r="T91" s="245"/>
    </row>
    <row r="92" customFormat="false" ht="12.75" hidden="true" customHeight="false" outlineLevel="0" collapsed="false">
      <c r="P92" s="9" t="s">
        <v>90</v>
      </c>
      <c r="Q92" s="9"/>
      <c r="R92" s="9" t="n">
        <f aca="false">MATCH(R87,$R$23:$R$82,0)</f>
        <v>9</v>
      </c>
      <c r="S92" s="9"/>
    </row>
    <row r="93" customFormat="false" ht="12.75" hidden="true" customHeight="false" outlineLevel="0" collapsed="false">
      <c r="P93" s="208" t="s">
        <v>91</v>
      </c>
      <c r="Q93" s="9"/>
      <c r="R93" s="208" t="str">
        <f aca="false">INDEX($A$23:$A$82,$R$92)</f>
        <v>GRO.DEN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2013-10-22T15:34:12Z</dcterms:created>
  <dc:creator>elise.carnet</dc:creator>
  <dc:description/>
  <dc:language>fr-FR</dc:language>
  <cp:lastModifiedBy>elise.carnet</cp:lastModifiedBy>
  <dcterms:modified xsi:type="dcterms:W3CDTF">2013-10-22T15:34:24Z</dcterms:modified>
  <cp:revision>0</cp:revision>
  <dc:subject/>
  <dc:title/>
</cp:coreProperties>
</file>