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28720" sheetId="6" state="visible" r:id="rId8"/>
    <sheet name="jgjg" sheetId="7" state="hidden" r:id="rId9"/>
    <sheet name="liste codes réf" sheetId="8" state="hidden" r:id="rId10"/>
  </sheets>
  <definedNames>
    <definedName function="false" hidden="false" localSheetId="5" name="_xlnm.Print_Area" vbProcedure="false">'06128720'!$A$1:$Q$82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'06128720'!$A$1:$Q$82</definedName>
    <definedName function="false" hidden="false" localSheetId="5" name="_xlnm__FilterDatabase" vbProcedure="false">'06128720'!$A$1:$C$1415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<sst xmlns="http://schemas.openxmlformats.org/spreadsheetml/2006/main" count="8837" uniqueCount="3496">
  <si>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</si>
  <si>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</si>
  <si>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</si>
  <si>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</si>
  <si>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</si>
  <si>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</si>
  <si>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</si>
  <si>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</si>
  <si>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</si>
  <si>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</si>
  <si>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</si>
  <si>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</si>
  <si>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</si>
  <si>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</si>
  <si>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</si>
  <si>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</si>
  <si>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</si>
  <si>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</si>
  <si>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</si>
  <si>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</si>
  <si>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</si>
  <si>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</si>
  <si>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</si>
  <si>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</si>
  <si>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</si>
  <si>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</si>
  <si>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</si>
  <si>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</si>
  <si>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</si>
  <si>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</si>
  <si>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</si>
  <si>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</si>
  <si>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</si>
  <si>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</si>
  <si>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</si>
  <si>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</si>
  <si>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</si>
  <si>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</si>
  <si>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</si>
  <si>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</si>
  <si>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</si>
  <si>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</si>
  <si>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</si>
  <si>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</si>
  <si>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</si>
  <si>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</si>
  <si>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</si>
  <si>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</si>
  <si>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</si>
  <si>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</si>
  <si>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</si>
  <si>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</si>
  <si>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</si>
  <si>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</si>
  <si>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</si>
  <si>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</si>
  <si>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</si>
  <si>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</si>
  <si>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</si>
  <si>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</si>
  <si>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</si>
  <si>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</si>
  <si>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</si>
  <si>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</si>
  <si>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</si>
  <si>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</si>
  <si>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</si>
  <si>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</si>
  <si>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</si>
  <si>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</si>
  <si>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</si>
  <si>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</si>
  <si>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</si>
  <si>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</si>
  <si>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</si>
  <si>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</si>
  <si>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</si>
  <si>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</si>
  <si>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</si>
  <si>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</si>
  <si>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</si>
  <si>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</si>
  <si>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</si>
  <si>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</si>
  <si>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</si>
  <si>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</si>
  <si>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</si>
  <si>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</si>
  <si>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</si>
  <si>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</si>
  <si>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</si>
  <si>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</si>
  <si>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</si>
  <si>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</si>
  <si>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</si>
  <si>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</si>
  <si>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</si>
  <si>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</si>
  <si>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</si>
  <si>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</si>
  <si>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</si>
  <si>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</si>
  <si>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</si>
  <si>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</si>
  <si>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</si>
  <si>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</si>
  <si>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</si>
  <si>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</si>
  <si>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</si>
  <si>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</si>
  <si>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</si>
  <si>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</si>
  <si>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</si>
  <si>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</si>
  <si>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</si>
  <si>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</si>
  <si>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</si>
  <si>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</si>
  <si>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</si>
  <si>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</si>
  <si>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</si>
  <si>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</si>
  <si>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</si>
  <si>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</si>
  <si>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</si>
  <si>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</si>
  <si>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</si>
  <si>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</si>
  <si>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</si>
  <si>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</si>
  <si>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</si>
  <si>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</si>
  <si>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</si>
  <si>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</si>
  <si>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</si>
  <si>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</si>
  <si>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</si>
  <si>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</si>
  <si>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</si>
  <si>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</si>
  <si>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</si>
  <si>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</si>
  <si>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</si>
  <si>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</si>
  <si>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</si>
  <si>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</si>
  <si>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</si>
  <si>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</si>
  <si>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</si>
  <si>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</si>
  <si>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</si>
  <si>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</si>
  <si>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</si>
  <si>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</si>
  <si>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</si>
  <si>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</si>
  <si>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</si>
  <si>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</si>
  <si>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</si>
  <si>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</si>
  <si>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</si>
  <si>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</si>
  <si>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</si>
  <si>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</si>
  <si>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</si>
  <si>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</si>
  <si>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</si>
  <si>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</si>
  <si>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</si>
  <si>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</si>
  <si>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</si>
  <si>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</si>
  <si>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</si>
  <si>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</si>
  <si>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</si>
  <si>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</si>
  <si>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</si>
  <si>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</si>
  <si>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</si>
  <si>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</si>
  <si>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</si>
  <si>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</si>
  <si>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</si>
  <si>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</si>
  <si>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</si>
  <si>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</si>
  <si>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</si>
  <si>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</si>
  <si>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</si>
  <si>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</si>
  <si>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</si>
  <si>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</si>
  <si>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</si>
  <si>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</si>
  <si>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</si>
  <si>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</si>
  <si>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</si>
  <si>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</si>
  <si>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</si>
  <si>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</si>
  <si>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</si>
  <si>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</si>
  <si>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</si>
  <si>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</si>
  <si>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</si>
  <si>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</si>
  <si>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</si>
  <si>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</si>
  <si>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</si>
  <si>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</si>
  <si>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</si>
  <si>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</si>
  <si>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</si>
  <si>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</si>
  <si>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</si>
  <si>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</si>
  <si>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</si>
  <si>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</si>
  <si>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</si>
  <si>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</si>
  <si>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</si>
  <si>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</si>
  <si>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</si>
  <si>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</si>
  <si>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</si>
  <si>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</si>
  <si>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</si>
  <si>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</si>
  <si>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</si>
  <si>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</si>
  <si>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</si>
  <si>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</si>
  <si>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</si>
  <si>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</si>
  <si>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</si>
  <si>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</si>
  <si>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</si>
  <si>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</si>
  <si>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</si>
  <si>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</si>
  <si>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</si>
  <si>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</si>
  <si>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</si>
  <si>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</si>
  <si>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</si>
  <si>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</si>
  <si>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</si>
  <si>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</si>
  <si>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</si>
  <si>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</si>
  <si>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</si>
  <si>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</si>
  <si>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</si>
  <si>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</si>
  <si>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</si>
  <si>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</si>
  <si>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</si>
  <si>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</si>
  <si>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</si>
  <si>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</si>
  <si>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</si>
  <si>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</si>
  <si>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</si>
  <si>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</si>
  <si>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</si>
  <si>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</si>
  <si>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</si>
  <si>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</si>
  <si>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</si>
  <si>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</si>
  <si>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</si>
  <si>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</si>
  <si>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</si>
  <si>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</si>
  <si>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</si>
  <si>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</si>
  <si>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</si>
  <si>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</si>
  <si>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</si>
  <si>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</si>
  <si>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</si>
  <si>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</si>
  <si>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</si>
  <si>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</si>
  <si>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</si>
  <si>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</si>
  <si>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</si>
  <si>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</si>
  <si>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</si>
  <si>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</si>
  <si>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</si>
  <si>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</si>
  <si>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</si>
  <si>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</si>
  <si>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</si>
  <si>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</si>
  <si>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</si>
  <si>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</si>
  <si>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</si>
  <si>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</si>
  <si>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</si>
  <si>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</si>
  <si>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</si>
  <si>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</si>
  <si>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</si>
  <si>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</si>
  <si>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</si>
  <si>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</si>
  <si>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</si>
  <si>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</si>
  <si>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</si>
  <si>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</si>
  <si>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</si>
  <si>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</si>
  <si>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</si>
  <si>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</si>
  <si>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</si>
  <si>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</si>
  <si>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</si>
  <si>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</si>
  <si>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</si>
  <si>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</si>
  <si>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</si>
  <si>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</si>
  <si>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</si>
  <si>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</si>
  <si>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</si>
  <si>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</si>
  <si>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</si>
  <si>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</si>
  <si>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</si>
  <si>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</si>
  <si>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</si>
  <si>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</si>
  <si>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</si>
  <si>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</si>
  <si>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</si>
  <si>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</si>
  <si>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</si>
  <si>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</si>
  <si>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</si>
  <si>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</si>
  <si>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</si>
  <si>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</si>
  <si>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</si>
  <si>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</si>
  <si>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</si>
  <si>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</si>
  <si>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</si>
  <si>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</si>
  <si>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</si>
  <si>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</si>
  <si>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</si>
  <si>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</si>
  <si>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</si>
  <si>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</si>
  <si>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</si>
  <si>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</si>
  <si>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</si>
  <si>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</si>
  <si>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</si>
  <si>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</si>
  <si>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</si>
  <si>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</si>
  <si>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</si>
  <si>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</si>
  <si>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</si>
  <si>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</si>
  <si>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</si>
  <si>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</si>
  <si>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</si>
  <si>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</si>
  <si>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</si>
  <si>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</si>
  <si>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</si>
  <si>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</si>
  <si>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</si>
  <si>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</si>
  <si>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</si>
  <si>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</si>
  <si>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</si>
  <si>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</si>
  <si>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</si>
  <si>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</si>
  <si>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</si>
  <si>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</si>
  <si>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</si>
  <si>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</si>
  <si>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</si>
  <si>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</si>
  <si>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</si>
  <si>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</si>
  <si>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</si>
  <si>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</si>
  <si>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</si>
  <si>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</si>
  <si>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</si>
  <si>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</si>
  <si>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</si>
  <si>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</si>
  <si>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</si>
  <si>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</si>
  <si>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</si>
  <si>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</si>
  <si>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</si>
  <si>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</si>
  <si>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</si>
  <si>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</si>
  <si>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</si>
  <si>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</si>
  <si>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</si>
  <si>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</si>
  <si>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</si>
  <si>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</si>
  <si>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</si>
  <si>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</si>
  <si>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</si>
  <si>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</si>
  <si>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</si>
  <si>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</si>
  <si>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</si>
  <si>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</si>
  <si>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</si>
  <si>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</si>
  <si>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</si>
  <si>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</si>
  <si>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</si>
  <si>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</si>
  <si>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</si>
  <si>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</si>
  <si>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</si>
  <si>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</si>
  <si>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</si>
  <si>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</si>
  <si>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</si>
  <si>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</si>
  <si>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</si>
  <si>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</si>
  <si>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</si>
  <si>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</si>
  <si>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</si>
  <si>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</si>
  <si>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</si>
  <si>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</si>
  <si>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</si>
  <si>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</si>
  <si>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</si>
  <si>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</si>
  <si>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</si>
  <si>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</si>
  <si>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</si>
  <si>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</si>
  <si>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</si>
  <si>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</si>
  <si>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</si>
  <si>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</si>
  <si>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</si>
  <si>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</si>
  <si>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</si>
  <si>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</si>
  <si>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</si>
  <si>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</si>
  <si>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</si>
  <si>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</si>
  <si>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</si>
  <si>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</si>
  <si>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</si>
  <si>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</si>
  <si>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</si>
  <si>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</si>
  <si>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</si>
  <si>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</si>
  <si>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</si>
  <si>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</si>
  <si>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</si>
  <si>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</si>
  <si>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</si>
  <si>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</si>
  <si>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</si>
  <si>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</si>
  <si>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</si>
  <si>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</si>
  <si>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</si>
  <si>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</si>
  <si>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</si>
  <si>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</si>
  <si>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</si>
  <si>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</si>
  <si>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</si>
  <si>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</si>
  <si>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</si>
  <si>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</si>
  <si>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</si>
  <si>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</si>
  <si>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</si>
  <si>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</si>
  <si>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</si>
  <si>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</si>
  <si>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</si>
  <si>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</si>
  <si>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</si>
  <si>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</si>
  <si>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</si>
  <si>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</si>
  <si>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</si>
  <si>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</si>
  <si>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</si>
  <si>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</si>
  <si>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</si>
  <si>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</si>
  <si>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</si>
  <si>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</si>
  <si>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</si>
  <si>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</si>
  <si>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</si>
  <si>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</si>
  <si>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</si>
  <si>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</si>
  <si>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</si>
  <si>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</si>
  <si>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</si>
  <si>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</si>
  <si>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</si>
  <si>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</si>
  <si>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</si>
  <si>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</si>
  <si>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</si>
  <si>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</si>
  <si>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</si>
  <si>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</si>
  <si>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</si>
  <si>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</si>
  <si>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</si>
  <si>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</si>
  <si>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</si>
  <si>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</si>
  <si>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</si>
  <si>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</si>
  <si>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</si>
  <si>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</si>
  <si>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</si>
  <si>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</si>
  <si>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</si>
  <si>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</si>
  <si>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</si>
  <si>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</si>
  <si>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</si>
  <si>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</si>
  <si>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</si>
  <si>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</si>
  <si>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</si>
  <si>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</si>
  <si>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</si>
  <si>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</si>
  <si>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</si>
  <si>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</si>
  <si>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</si>
  <si>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</si>
  <si>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</si>
  <si>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</si>
  <si>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</si>
  <si>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</si>
  <si>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</si>
  <si>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</si>
  <si>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</si>
  <si>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</si>
  <si>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</si>
  <si>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</si>
  <si>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</si>
  <si>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</si>
  <si>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</si>
  <si>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</si>
  <si>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</si>
  <si>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</si>
  <si>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</si>
  <si>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</si>
  <si>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</si>
  <si>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</si>
  <si>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</si>
  <si>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</si>
  <si>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</si>
  <si>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</si>
  <si>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</si>
  <si>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</si>
  <si>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</si>
  <si>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</si>
  <si>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</si>
  <si>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</si>
  <si>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</si>
  <si>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</si>
  <si>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</si>
  <si>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</si>
  <si>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</si>
  <si>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</si>
  <si>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</si>
  <si>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</si>
  <si>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</si>
  <si>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</si>
  <si>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</si>
  <si>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</si>
  <si>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</si>
  <si>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</si>
  <si>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</si>
  <si>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</si>
  <si>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</si>
  <si>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</si>
  <si>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</si>
  <si>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</si>
  <si>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</si>
  <si>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</si>
  <si>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</si>
  <si>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</si>
  <si>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</si>
  <si>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</si>
  <si>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</si>
  <si>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</si>
  <si>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</si>
  <si>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</si>
  <si>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</si>
  <si>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</si>
  <si>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</si>
  <si>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</si>
  <si>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</si>
  <si>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</si>
  <si>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</si>
  <si>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</si>
  <si>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</si>
  <si>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</si>
  <si>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</si>
  <si>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</si>
  <si>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</si>
  <si>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</si>
  <si>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</si>
  <si>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</si>
  <si>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</si>
  <si>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</si>
  <si>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</si>
  <si>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</si>
  <si>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</si>
  <si>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</si>
  <si>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</si>
  <si>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</si>
  <si>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</si>
  <si>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</si>
  <si>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</si>
  <si>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</si>
  <si>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</si>
  <si>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</si>
  <si>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</si>
  <si>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</si>
  <si>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</si>
  <si>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</si>
  <si>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</si>
  <si>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</si>
  <si>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</si>
  <si>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</si>
  <si>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</si>
  <si>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</si>
  <si>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</si>
  <si>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</si>
  <si>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</si>
  <si>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</si>
  <si>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</si>
  <si>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</si>
  <si>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</si>
  <si>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</si>
  <si>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</si>
  <si>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</si>
  <si>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</si>
  <si>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</si>
  <si>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</si>
  <si>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</si>
  <si>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</si>
  <si>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</si>
  <si>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</si>
  <si>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</si>
  <si>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</si>
  <si>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</si>
  <si>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</si>
  <si>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</si>
  <si>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</si>
  <si>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</si>
  <si>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</si>
  <si>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</si>
  <si>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</si>
  <si>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</si>
  <si>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</si>
  <si>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</si>
  <si>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</si>
  <si>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</si>
  <si>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</si>
  <si>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</si>
  <si>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</si>
  <si>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</si>
  <si>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</si>
  <si>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</si>
  <si>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</si>
  <si>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</si>
  <si>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</si>
  <si>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</si>
  <si>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</si>
  <si>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</si>
  <si>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</si>
  <si>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</si>
  <si>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</si>
  <si>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</si>
  <si>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</si>
  <si>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</si>
  <si>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</si>
  <si>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</si>
  <si>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</si>
  <si>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</si>
  <si>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</si>
  <si>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</si>
  <si>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</si>
  <si>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</si>
  <si>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</si>
  <si>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</si>
  <si>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</si>
  <si>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</si>
  <si>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</si>
  <si>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</si>
  <si>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</si>
  <si>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</si>
  <si>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</si>
  <si>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</si>
  <si>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</si>
  <si>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</si>
  <si>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</si>
  <si>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</si>
  <si>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</si>
  <si>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</si>
  <si>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</si>
  <si>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</si>
  <si>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</si>
  <si>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</si>
  <si>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</si>
  <si>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</si>
  <si>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</si>
  <si>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</si>
  <si>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</si>
  <si>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</si>
  <si>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</si>
  <si>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</si>
  <si>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</si>
  <si>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</si>
  <si>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</si>
  <si>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</si>
  <si>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</si>
  <si>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</si>
  <si>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</si>
  <si>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</si>
  <si>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</si>
  <si>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</si>
  <si>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</si>
  <si>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</si>
  <si>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</si>
  <si>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</si>
  <si>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</si>
  <si>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</si>
  <si>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</si>
  <si>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</si>
  <si>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</si>
  <si>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</si>
  <si>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</si>
  <si>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</si>
  <si>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</si>
  <si>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</si>
  <si>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</si>
  <si>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</si>
  <si>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</si>
  <si>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</si>
  <si>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</si>
  <si>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</si>
  <si>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</si>
  <si>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</si>
  <si>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</si>
  <si>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</si>
  <si>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</si>
  <si>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</si>
  <si>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</si>
  <si>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</si>
  <si>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</si>
  <si>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</si>
  <si>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</si>
  <si>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</si>
  <si>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</si>
  <si>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</si>
  <si>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</si>
  <si>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</si>
  <si>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</si>
  <si>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</si>
  <si>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</si>
  <si>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</si>
  <si>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</si>
  <si>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</si>
  <si>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</si>
  <si>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</si>
  <si>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</si>
  <si>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</si>
  <si>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</si>
  <si>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</si>
  <si>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</si>
  <si>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</si>
  <si>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</si>
  <si>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</si>
  <si>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</si>
  <si>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</si>
  <si>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</si>
  <si>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</si>
  <si>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</si>
  <si>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</si>
  <si>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</si>
  <si>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</si>
  <si>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</si>
  <si>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</si>
  <si>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</si>
  <si>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</si>
  <si>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</si>
  <si>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</si>
  <si>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</si>
  <si>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</si>
  <si>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</si>
  <si>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</si>
  <si>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</si>
  <si>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</si>
  <si>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</si>
  <si>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</si>
  <si>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</si>
  <si>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</si>
  <si>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</si>
  <si>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</si>
  <si>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</si>
  <si>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</si>
  <si>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</si>
  <si>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</si>
  <si>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</si>
  <si>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</si>
  <si>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</si>
  <si>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</si>
  <si>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</si>
  <si>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</si>
  <si>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</si>
  <si>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</si>
  <si>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</si>
  <si>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</si>
  <si>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</si>
  <si>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</si>
  <si>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</si>
  <si>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</si>
  <si>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</si>
  <si>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</si>
  <si>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</si>
  <si>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</si>
  <si>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</si>
  <si>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</si>
  <si>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</si>
  <si>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</si>
  <si>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</si>
  <si>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</si>
  <si>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</si>
  <si>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</si>
  <si>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</si>
  <si>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</si>
  <si>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</si>
  <si>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</si>
  <si>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</si>
  <si>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</si>
  <si>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</si>
  <si>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</si>
  <si>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</si>
  <si>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</si>
  <si>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</si>
  <si>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</si>
  <si>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</si>
  <si>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</si>
  <si>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</si>
  <si>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</si>
  <si>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</si>
  <si>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</si>
  <si>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</si>
  <si>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</si>
  <si>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</si>
  <si>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</si>
  <si>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</si>
  <si>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</si>
  <si>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</si>
  <si>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</si>
  <si>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</si>
  <si>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</si>
  <si>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</si>
  <si>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</si>
  <si>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</si>
  <si>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</si>
  <si>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</si>
  <si>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</si>
  <si>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</si>
  <si>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</si>
  <si>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</si>
  <si>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</si>
  <si>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</si>
  <si>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</si>
  <si>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</si>
  <si>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</si>
  <si>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</si>
  <si>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</si>
  <si>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</si>
  <si>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</si>
  <si>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</si>
  <si>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</si>
  <si>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</si>
  <si>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</si>
  <si>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</si>
  <si>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</si>
  <si>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</si>
  <si>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</si>
  <si>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</si>
  <si>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</si>
  <si>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</si>
  <si>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</si>
  <si>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</si>
  <si>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</si>
  <si>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</si>
  <si>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</si>
  <si>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</si>
  <si>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</si>
  <si>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</si>
  <si>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</si>
  <si>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</si>
  <si>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</si>
  <si>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</si>
  <si>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</si>
  <si>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</si>
  <si>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</si>
  <si>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</si>
  <si>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</si>
  <si>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</si>
  <si>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</si>
  <si>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</si>
  <si>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</si>
  <si>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</si>
  <si>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</si>
  <si>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</si>
  <si>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</si>
  <si>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</si>
  <si>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</si>
  <si>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</si>
  <si>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</si>
  <si>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</si>
  <si>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</si>
  <si>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</si>
  <si>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</si>
  <si>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</si>
  <si>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</si>
  <si>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</si>
  <si>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</si>
  <si>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</si>
  <si>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</si>
  <si>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</si>
  <si>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</si>
  <si>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</si>
  <si>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</si>
  <si>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</si>
  <si>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</si>
  <si>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</si>
  <si>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</si>
  <si>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</si>
  <si>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</si>
  <si>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</si>
  <si>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</si>
  <si>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</si>
  <si>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</si>
  <si>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</si>
  <si>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</si>
  <si>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</si>
  <si>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</si>
  <si>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</si>
  <si>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</si>
  <si>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</si>
  <si>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</si>
  <si>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</si>
  <si>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</si>
  <si>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</si>
  <si>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</si>
  <si>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</si>
  <si>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</si>
  <si>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</si>
  <si>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</si>
  <si>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</si>
  <si>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</si>
  <si>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</si>
  <si>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</si>
  <si>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</si>
  <si>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</si>
  <si>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</si>
  <si>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</si>
  <si>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</si>
  <si>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</si>
  <si>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</si>
  <si>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</si>
  <si>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</si>
  <si>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</si>
  <si>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</si>
  <si>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</si>
  <si>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</si>
  <si>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</si>
  <si>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</si>
  <si>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</si>
  <si>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</si>
  <si>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</si>
  <si>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</si>
  <si>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</si>
  <si>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</si>
  <si>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</si>
  <si>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</si>
  <si>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</si>
  <si>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</si>
  <si>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</si>
  <si>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</si>
  <si>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</si>
  <si>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</si>
  <si>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</si>
  <si>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</si>
  <si>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</si>
  <si>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</si>
  <si>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</si>
  <si>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</si>
  <si>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</si>
  <si>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</si>
  <si>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</si>
  <si>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</si>
  <si>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</si>
  <si>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</si>
  <si>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</si>
  <si>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</si>
  <si>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</si>
  <si>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</si>
  <si>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</si>
  <si>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</si>
  <si>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</si>
  <si>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</si>
  <si>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</si>
  <si>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</si>
  <si>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</si>
  <si>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</si>
  <si>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</si>
  <si>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</si>
  <si>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</si>
  <si>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</si>
  <si>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</si>
  <si>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</si>
  <si>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</si>
  <si>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</si>
  <si>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</si>
  <si>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</si>
  <si>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</si>
  <si>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</si>
  <si>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</si>
  <si>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</si>
  <si>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</si>
  <si>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</si>
  <si>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</si>
  <si>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</si>
  <si>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</si>
  <si>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</si>
  <si>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</si>
  <si>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</si>
  <si>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</si>
  <si>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</si>
  <si>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</si>
  <si>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</si>
  <si>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</si>
  <si>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</si>
  <si>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</si>
  <si>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</si>
  <si>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</si>
  <si>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</si>
  <si>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</si>
  <si>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</si>
  <si>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</si>
  <si>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</si>
  <si>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</si>
  <si>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</si>
  <si>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</si>
  <si>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</si>
  <si>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</si>
  <si>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</si>
  <si>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</si>
  <si>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</si>
  <si>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</si>
  <si>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</si>
  <si>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</si>
  <si>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</si>
  <si>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</si>
  <si>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</si>
  <si>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</si>
  <si>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</si>
  <si>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</si>
  <si>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</si>
  <si>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</si>
  <si>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</si>
  <si>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</si>
  <si>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</si>
  <si>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</si>
  <si>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</si>
  <si>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</si>
  <si>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</si>
  <si>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</si>
  <si>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</si>
  <si>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</si>
  <si>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</si>
  <si>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</si>
  <si>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</si>
  <si>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</si>
  <si>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</si>
  <si>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</si>
  <si>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</si>
  <si>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</si>
  <si>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</si>
  <si>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</si>
  <si>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</si>
  <si>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</si>
  <si>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</si>
  <si>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</si>
  <si>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</si>
  <si>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</si>
  <si>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</si>
  <si>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</si>
  <si>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</si>
  <si>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</si>
  <si>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</si>
  <si>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</si>
  <si>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</si>
  <si>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</si>
  <si>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</si>
  <si>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</si>
  <si>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</si>
  <si>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</si>
  <si>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</si>
  <si>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</si>
  <si>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</si>
  <si>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</si>
  <si>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</si>
  <si>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</si>
  <si>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</si>
  <si>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</si>
  <si>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</si>
  <si>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</si>
  <si>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</si>
  <si>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</si>
  <si>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</si>
  <si>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</si>
  <si>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</si>
  <si>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</si>
  <si>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</si>
  <si>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</si>
  <si>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</si>
  <si>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</si>
  <si>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</si>
  <si>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</si>
  <si>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</si>
  <si>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</si>
  <si>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</si>
  <si>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</si>
  <si>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</si>
  <si>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</si>
  <si>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</si>
  <si>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</si>
  <si>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</si>
  <si>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</si>
  <si>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</si>
  <si>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</si>
  <si>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</si>
  <si>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</si>
  <si>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</si>
  <si>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</si>
  <si>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</si>
  <si>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</si>
  <si>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</si>
  <si>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</si>
  <si>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</si>
  <si>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</si>
  <si>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</si>
  <si>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</si>
  <si>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</si>
  <si>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</si>
  <si>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</si>
  <si>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</si>
  <si>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</si>
  <si>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</si>
  <si>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</si>
  <si>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</si>
  <si>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</si>
  <si>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</si>
  <si>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</si>
  <si>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</si>
  <si>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</si>
  <si>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</si>
  <si>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</si>
  <si>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</si>
  <si>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</si>
  <si>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</si>
  <si>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</si>
  <si>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</si>
  <si>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</si>
  <si>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</si>
  <si>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</si>
  <si>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</si>
  <si>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</si>
  <si>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</si>
  <si>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</si>
  <si>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</si>
  <si>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</si>
  <si>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</si>
  <si>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</si>
  <si>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</si>
  <si>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</si>
  <si>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</si>
  <si>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</si>
  <si>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</si>
  <si>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</si>
  <si>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</si>
  <si>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</si>
  <si>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</si>
  <si>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</si>
  <si>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</si>
  <si>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</si>
  <si>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</si>
  <si>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</si>
  <si>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</si>
  <si>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</si>
  <si>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</si>
  <si>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</si>
  <si>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</si>
  <si>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</si>
  <si>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</si>
  <si>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</si>
  <si>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</si>
  <si>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</si>
  <si>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</si>
  <si>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</si>
  <si>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</si>
  <si>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</si>
  <si>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</si>
  <si>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</si>
  <si>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</si>
  <si>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</si>
  <si>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</si>
  <si>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</si>
  <si>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</si>
  <si>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</si>
  <si>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</si>
  <si>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</si>
  <si>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</si>
  <si>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</si>
  <si>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</si>
  <si>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</si>
  <si>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</si>
  <si>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</si>
  <si>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</si>
  <si>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</si>
  <si>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</si>
  <si>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</si>
  <si>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</si>
  <si>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</si>
  <si>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</si>
  <si>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</si>
  <si>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</si>
  <si>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</si>
  <si>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</si>
  <si>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</si>
  <si>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</si>
  <si>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</si>
  <si>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</si>
  <si>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</si>
  <si>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</si>
  <si>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</si>
  <si>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</si>
  <si>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</si>
  <si>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</si>
  <si>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</si>
  <si>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</si>
  <si>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</si>
  <si>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</si>
  <si>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</si>
  <si>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</si>
  <si>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</si>
  <si>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</si>
  <si>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</si>
  <si>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</si>
  <si>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</si>
  <si>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</si>
  <si>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</si>
  <si>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</si>
  <si>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</si>
  <si>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</si>
  <si>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</si>
  <si>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</si>
  <si>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</si>
  <si>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</si>
  <si>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</si>
  <si>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</si>
  <si>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</si>
  <si>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</si>
  <si>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</si>
  <si>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</si>
  <si>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</si>
  <si>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</si>
  <si>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</si>
  <si>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</si>
  <si>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</si>
  <si>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</si>
  <si>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</si>
  <si>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</si>
  <si>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</si>
  <si>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</si>
  <si>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</si>
  <si>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</si>
  <si>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</si>
  <si>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</si>
  <si>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</si>
  <si>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</si>
  <si>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</si>
  <si>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</si>
  <si>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</si>
  <si>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</si>
  <si>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</si>
  <si>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</si>
  <si>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</si>
  <si>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</si>
  <si>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</si>
  <si>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</si>
  <si>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</si>
  <si>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</si>
  <si>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</si>
  <si>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</si>
  <si>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</si>
  <si>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</si>
  <si>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</si>
  <si>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</si>
  <si>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</si>
  <si>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</si>
  <si>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</si>
  <si>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</si>
  <si>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</si>
  <si>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</si>
  <si>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</si>
  <si>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</si>
  <si>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</si>
  <si>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</si>
  <si>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</si>
  <si>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</si>
  <si>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</si>
  <si>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</si>
  <si>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</si>
  <si>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</si>
  <si>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</si>
  <si>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</si>
  <si>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</si>
  <si>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</si>
  <si>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</si>
  <si>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</si>
  <si>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</si>
  <si>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</si>
  <si>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</si>
  <si>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</si>
  <si>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</si>
  <si>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</si>
  <si>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</si>
  <si>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</si>
  <si>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</si>
  <si>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</si>
  <si>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</si>
  <si>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</si>
  <si>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</si>
  <si>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</si>
  <si>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</si>
  <si>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</si>
  <si>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</si>
  <si>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</si>
  <si>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</si>
  <si>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</si>
  <si>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</si>
  <si>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</si>
  <si>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</si>
  <si>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</si>
  <si>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</si>
  <si>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</si>
  <si>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</si>
  <si>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</si>
  <si>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</si>
  <si>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</si>
  <si>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</si>
  <si>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</si>
  <si>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</si>
  <si>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</si>
  <si>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</si>
  <si>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</si>
  <si>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</si>
  <si>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</si>
  <si>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</si>
  <si>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</si>
  <si>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</si>
  <si>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</si>
  <si>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</si>
  <si>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</si>
  <si>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</si>
  <si>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</si>
  <si>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</si>
  <si>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</si>
  <si>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</si>
  <si>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</si>
  <si>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</si>
  <si>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</si>
  <si>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</si>
  <si>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</si>
  <si>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</si>
  <si>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</si>
  <si>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</si>
  <si>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</si>
  <si>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</si>
  <si>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</si>
  <si>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</si>
  <si>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</si>
  <si>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</si>
  <si>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</si>
  <si>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</si>
  <si>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</si>
  <si>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</si>
  <si>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</si>
  <si>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</si>
  <si>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</si>
  <si>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</si>
  <si>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</si>
  <si>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</si>
  <si>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</si>
  <si>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</si>
  <si>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</si>
  <si>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</si>
  <si>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</si>
  <si>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</si>
  <si>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</si>
  <si>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</si>
  <si>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</si>
  <si>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</si>
  <si>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</si>
  <si>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</si>
  <si>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</si>
  <si>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</si>
  <si>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</si>
  <si>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</si>
  <si>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</si>
  <si>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</si>
  <si>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</si>
  <si>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</si>
  <si>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</si>
  <si>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</si>
  <si>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</si>
  <si>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</si>
  <si>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</si>
  <si>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</si>
  <si>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</si>
  <si>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</si>
  <si>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</si>
  <si>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</si>
  <si>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</si>
  <si>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</si>
  <si>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</si>
  <si>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</si>
  <si>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</si>
  <si>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</si>
  <si>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</si>
  <si>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</si>
  <si>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</si>
  <si>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</si>
  <si>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</si>
  <si>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</si>
  <si>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</si>
  <si>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</si>
  <si>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</si>
  <si>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</si>
  <si>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</si>
  <si>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</si>
  <si>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</si>
  <si>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</si>
  <si>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</si>
  <si>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</si>
  <si>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</si>
  <si>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</si>
  <si>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</si>
  <si>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</si>
  <si>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</si>
  <si>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</si>
  <si>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</si>
  <si>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</si>
  <si>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</si>
  <si>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</si>
  <si>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</si>
  <si>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</si>
  <si>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</si>
  <si>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</si>
  <si>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</si>
  <si>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</si>
  <si>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</si>
  <si>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</si>
  <si>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</si>
  <si>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</si>
  <si>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</si>
  <si>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</si>
  <si>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</si>
  <si>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</si>
  <si>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</si>
  <si>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</si>
  <si>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</si>
  <si>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</si>
  <si>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</si>
  <si>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</si>
  <si>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</si>
  <si>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</si>
  <si>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</si>
  <si>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</si>
  <si>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</si>
  <si>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</si>
  <si>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</si>
  <si>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</si>
  <si>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</si>
  <si>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</si>
  <si>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</si>
  <si>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</si>
  <si>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</si>
  <si>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</si>
  <si>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</si>
  <si>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</si>
  <si>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</si>
  <si>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</si>
  <si>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</si>
  <si>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</si>
  <si>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</si>
  <si>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</si>
  <si>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</si>
  <si>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</si>
  <si>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</si>
  <si>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</si>
  <si>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</si>
  <si>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</si>
  <si>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</si>
  <si>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</si>
  <si>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</si>
  <si>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</si>
  <si>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</si>
  <si>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</si>
  <si>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</si>
  <si>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</si>
  <si>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</si>
  <si>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</si>
  <si>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</si>
  <si>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</si>
  <si>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</si>
  <si>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</si>
  <si>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</si>
  <si>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</si>
  <si>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</si>
  <si>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</si>
  <si>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</si>
  <si>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</si>
  <si>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</si>
  <si>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</si>
  <si>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</si>
  <si>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</si>
  <si>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</si>
  <si>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</si>
  <si>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</si>
  <si>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</si>
  <si>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</si>
  <si>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</si>
  <si>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</si>
  <si>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</si>
  <si>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</si>
  <si>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</si>
  <si>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</si>
  <si>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</si>
  <si>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</si>
  <si>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</si>
  <si>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</si>
  <si>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</si>
  <si>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</si>
  <si>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</si>
  <si>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</si>
  <si>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</si>
  <si>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</si>
  <si>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</si>
  <si>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</si>
  <si>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</si>
  <si>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</si>
  <si>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</si>
  <si>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</si>
  <si>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</si>
  <si>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</si>
  <si>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</si>
  <si>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</si>
  <si>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</si>
  <si>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</si>
  <si>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</si>
  <si>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</si>
  <si>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</si>
  <si>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</si>
  <si>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</si>
  <si>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</si>
  <si>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</si>
  <si>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</si>
  <si>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</si>
  <si>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</si>
  <si>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</si>
  <si>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</si>
  <si>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</si>
  <si>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</si>
  <si>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</si>
  <si>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</si>
  <si>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</si>
  <si>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</si>
  <si>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</si>
  <si>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</si>
  <si>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</si>
  <si>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</si>
  <si>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</si>
  <si>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</si>
  <si>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</si>
  <si>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</si>
  <si>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</si>
  <si>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</si>
  <si>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</si>
  <si>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</si>
  <si>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</si>
  <si>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</si>
  <si>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</si>
  <si>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</si>
  <si>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</si>
  <si>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</si>
  <si>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</si>
  <si>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</si>
  <si>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</si>
  <si>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</si>
  <si>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</si>
  <si>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</si>
  <si>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</si>
  <si>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</si>
  <si>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</si>
  <si>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</si>
  <si>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</si>
  <si>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</si>
  <si>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</si>
  <si>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</si>
  <si>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</si>
  <si>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</si>
  <si>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</si>
  <si>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</si>
  <si>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</si>
  <si>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</si>
  <si>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</si>
  <si>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</si>
  <si>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</si>
  <si>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</si>
  <si>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</si>
  <si>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</si>
  <si>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</si>
  <si>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</si>
  <si>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</si>
  <si>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</si>
  <si>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</si>
  <si>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</si>
  <si>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</si>
  <si>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</si>
  <si>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</si>
  <si>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</si>
  <si>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</si>
  <si>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</si>
  <si>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</si>
  <si>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</si>
  <si>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</si>
  <si>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</si>
  <si>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</si>
  <si>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</si>
  <si>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</si>
  <si>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</si>
  <si>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</si>
  <si>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</si>
  <si>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</si>
  <si>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</si>
  <si>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</si>
  <si>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</si>
  <si>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</si>
  <si>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</si>
  <si>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</si>
  <si>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</si>
  <si>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</si>
  <si>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</si>
  <si>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</si>
  <si>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</si>
  <si>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</si>
  <si>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</si>
  <si>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</si>
  <si>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</si>
  <si>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</si>
  <si>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</si>
  <si>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</si>
  <si>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</si>
  <si>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</si>
  <si>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</si>
  <si>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</si>
  <si>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</si>
  <si>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</si>
  <si>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</si>
  <si>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</si>
  <si>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</si>
  <si>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</si>
  <si>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</si>
  <si>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</si>
  <si>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</si>
  <si>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</si>
  <si>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</si>
  <si>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</si>
  <si>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</si>
  <si>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</si>
  <si>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</si>
  <si>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</si>
  <si>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</si>
  <si>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</si>
  <si>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</si>
  <si>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</si>
  <si>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</si>
  <si>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</si>
  <si>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</si>
  <si>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</si>
  <si>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</si>
  <si>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</si>
  <si>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</si>
  <si>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</si>
  <si>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</si>
  <si>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</si>
  <si>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</si>
  <si>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</si>
  <si>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</si>
  <si>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</si>
  <si>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</si>
  <si>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</si>
  <si>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</si>
  <si>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</si>
  <si>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</si>
  <si>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</si>
  <si>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</si>
  <si>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</si>
  <si>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</si>
  <si>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</si>
  <si>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</si>
  <si>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</si>
  <si>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</si>
  <si>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</si>
  <si>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</si>
  <si>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</si>
  <si>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</si>
  <si>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</si>
  <si>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</si>
  <si>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</si>
  <si>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</si>
  <si>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</si>
  <si>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</si>
  <si>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</si>
  <si>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</si>
  <si>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</si>
  <si>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</si>
  <si>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</si>
  <si>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</si>
  <si>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</si>
  <si>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</si>
  <si>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</si>
  <si>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</si>
  <si>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</si>
  <si>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</si>
  <si>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</si>
  <si>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</si>
  <si>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</si>
  <si>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</si>
  <si>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</si>
  <si>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</si>
  <si>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</si>
  <si>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</si>
  <si>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</si>
  <si>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</si>
  <si>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</si>
  <si>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</si>
  <si>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</si>
  <si>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</si>
  <si>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</si>
  <si>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</si>
  <si>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</si>
  <si>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</si>
  <si>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</si>
  <si>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</si>
  <si>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</si>
  <si>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</si>
  <si>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</si>
  <si>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</si>
  <si>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</si>
  <si>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</si>
  <si>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</si>
  <si>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</si>
  <si>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</si>
  <si>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</si>
  <si>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</si>
  <si>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</si>
  <si>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</si>
  <si>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</si>
  <si>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</si>
  <si>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</si>
  <si>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</si>
  <si>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</si>
  <si>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</si>
  <si>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</si>
  <si>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</si>
  <si>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</si>
  <si>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</si>
  <si>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</si>
  <si>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</si>
  <si>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</si>
  <si>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</si>
  <si>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</si>
  <si>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</si>
  <si>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</si>
  <si>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</si>
  <si>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</si>
  <si>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</si>
  <si>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</si>
  <si>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</si>
  <si>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</si>
  <si>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</si>
  <si>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</si>
  <si>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</si>
  <si>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</si>
  <si>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</si>
  <si>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</si>
  <si>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</si>
  <si>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</si>
  <si>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</si>
  <si>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</si>
  <si>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</si>
  <si>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</si>
  <si>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</si>
  <si>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</si>
  <si>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</si>
  <si>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</si>
  <si>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</si>
  <si>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</si>
  <si>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</si>
  <si>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</si>
  <si>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</si>
  <si>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</si>
  <si>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</si>
  <si>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</si>
  <si>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</si>
  <si>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</si>
  <si>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</si>
  <si>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</si>
  <si>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</si>
  <si>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</si>
  <si>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</si>
  <si>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</si>
  <si>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</si>
  <si>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</si>
  <si>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</si>
  <si>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</si>
  <si>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</si>
  <si>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</si>
  <si>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</si>
  <si>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</si>
  <si>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</si>
  <si>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</si>
  <si>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</si>
  <si>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</si>
  <si>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</si>
  <si>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</si>
  <si>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</si>
  <si>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</si>
  <si>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</si>
  <si>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</si>
  <si>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</si>
  <si>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</si>
  <si>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</si>
  <si>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</si>
  <si>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</si>
  <si>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</si>
  <si>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</si>
  <si>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</si>
  <si>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</si>
  <si>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</si>
  <si>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</si>
  <si>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</si>
  <si>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</si>
  <si>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</si>
  <si>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</si>
  <si>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</si>
  <si>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</si>
  <si>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</si>
  <si>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</si>
  <si>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</si>
  <si>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</si>
  <si>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</si>
  <si>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</si>
  <si>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</si>
  <si>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</si>
  <si>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</si>
  <si>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</si>
  <si>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</si>
  <si>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</si>
  <si>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</si>
  <si>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</si>
  <si>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</si>
  <si>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</si>
  <si>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</si>
  <si>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</si>
  <si>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</si>
  <si>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</si>
  <si>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</si>
  <si>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</si>
  <si>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</si>
  <si>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</si>
  <si>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</si>
  <si>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</si>
  <si>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</si>
  <si>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</si>
  <si>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</si>
  <si>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</si>
  <si>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</si>
  <si>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</si>
  <si>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</si>
  <si>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</si>
  <si>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</si>
  <si>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</si>
  <si>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</si>
  <si>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</si>
  <si>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</si>
  <si>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</si>
  <si>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</si>
  <si>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</si>
  <si>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</si>
  <si>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</si>
  <si>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</si>
  <si>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</si>
  <si>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</si>
  <si>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</si>
  <si>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</si>
  <si>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</si>
  <si>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</si>
  <si>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</si>
  <si>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</si>
  <si>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</si>
  <si>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</si>
  <si>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</si>
  <si>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</si>
  <si>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</si>
  <si>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</si>
  <si>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</si>
  <si>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</si>
  <si>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</si>
  <si>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</si>
  <si>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</si>
  <si>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</si>
  <si>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</si>
  <si>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</si>
  <si>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</si>
  <si>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</si>
  <si>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</si>
  <si>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</si>
  <si>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</si>
  <si>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</si>
  <si>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</si>
  <si>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</si>
  <si>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</si>
  <si>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</si>
  <si>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</si>
  <si>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</si>
  <si>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</si>
  <si>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</si>
  <si>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</si>
  <si>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</si>
  <si>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</si>
  <si>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</si>
  <si>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</si>
  <si>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</si>
  <si>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</si>
  <si>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</si>
  <si>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</si>
  <si>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</si>
  <si>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</si>
  <si>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</si>
  <si>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</si>
  <si>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</si>
  <si>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</si>
  <si>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</si>
  <si>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</si>
  <si>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</si>
  <si>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</si>
  <si>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</si>
  <si>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</si>
  <si>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</si>
  <si>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</si>
  <si>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</si>
  <si>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</si>
  <si>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</si>
  <si>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</si>
  <si>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</si>
  <si>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</si>
  <si>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</si>
  <si>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</si>
  <si>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</si>
  <si>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</si>
  <si>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</si>
  <si>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</si>
  <si>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</si>
  <si>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</si>
  <si>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</si>
  <si>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</si>
  <si>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</si>
  <si>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</si>
  <si>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</si>
  <si>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</si>
  <si>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</si>
  <si>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</si>
  <si>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</si>
  <si>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</si>
  <si>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</si>
  <si>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</si>
  <si>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</si>
  <si>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</si>
  <si>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</si>
  <si>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</si>
  <si>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</si>
  <si>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</si>
  <si>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</si>
  <si>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</si>
  <si>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</si>
  <si>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</si>
  <si>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</si>
  <si>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</si>
  <si>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</si>
  <si>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</si>
  <si>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</si>
  <si>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</si>
  <si>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</si>
  <si>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</si>
  <si>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</si>
  <si>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</si>
  <si>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</si>
  <si>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</si>
  <si>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</si>
  <si>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</si>
  <si>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</si>
  <si>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</si>
  <si>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</si>
  <si>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</si>
  <si>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</si>
  <si>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</si>
  <si>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</si>
  <si>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</si>
  <si>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</si>
  <si>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</si>
  <si>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</si>
  <si>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</si>
  <si>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</si>
  <si>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</si>
  <si>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</si>
  <si>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</si>
  <si>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</si>
  <si>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</si>
  <si>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</si>
  <si>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</si>
  <si>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</si>
  <si>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</si>
  <si>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</si>
  <si>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</si>
  <si>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</si>
  <si>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</si>
  <si>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</si>
  <si>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</si>
  <si>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</si>
  <si>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</si>
  <si>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</si>
  <si>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</si>
  <si>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</si>
  <si>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</si>
  <si>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</si>
  <si>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</si>
  <si>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</si>
  <si>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</si>
  <si>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</si>
  <si>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</si>
  <si>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</si>
  <si>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</si>
  <si>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</si>
  <si>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</si>
  <si>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</si>
  <si>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</si>
  <si>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</si>
  <si>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</si>
  <si>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</si>
  <si>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</si>
  <si>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</si>
  <si>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</si>
  <si>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</si>
  <si>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</si>
  <si>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</si>
  <si>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</si>
  <si>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</si>
  <si>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</si>
  <si>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</si>
  <si>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</si>
  <si>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</si>
  <si>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</si>
  <si>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</si>
  <si>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</si>
  <si>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</si>
  <si>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</si>
  <si>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</si>
  <si>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</si>
  <si>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</si>
  <si>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</si>
  <si>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</si>
  <si>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</si>
  <si>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</si>
  <si>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</si>
  <si>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</si>
  <si>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</si>
  <si>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</si>
  <si>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</si>
  <si>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</si>
  <si>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</si>
  <si>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</si>
  <si>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</si>
  <si>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</si>
  <si>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</si>
  <si>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</si>
  <si>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</si>
  <si>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</si>
  <si>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</si>
  <si>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</si>
  <si>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</si>
  <si>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</si>
  <si>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</si>
  <si>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</si>
  <si>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</si>
  <si>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</si>
  <si>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</si>
  <si>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</si>
  <si>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</si>
  <si>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</si>
  <si>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</si>
  <si>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</si>
  <si>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</si>
  <si>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</si>
  <si>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</si>
  <si>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</si>
  <si>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</si>
  <si>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</si>
  <si>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</si>
  <si>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</si>
  <si>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</si>
  <si>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</si>
  <si>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</si>
  <si>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</si>
  <si>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</si>
  <si>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</si>
  <si>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</si>
  <si>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</si>
  <si>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</si>
  <si>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</si>
  <si>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</si>
  <si>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</si>
  <si>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</si>
  <si>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</si>
  <si>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</si>
  <si>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</si>
  <si>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</si>
  <si>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</si>
  <si>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</si>
  <si>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</si>
  <si>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</si>
  <si>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</si>
  <si>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</si>
  <si>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</si>
  <si>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</si>
  <si>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</si>
  <si>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</si>
  <si>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</si>
  <si>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</si>
  <si>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</si>
  <si>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</si>
  <si>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</si>
  <si>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</si>
  <si>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</si>
  <si>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</si>
  <si>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</si>
  <si>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</si>
  <si>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</si>
  <si>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</si>
  <si>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</si>
  <si>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</si>
  <si>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</si>
  <si>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</si>
  <si>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</si>
  <si>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</si>
  <si>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</si>
  <si>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</si>
  <si>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</si>
  <si>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</si>
  <si>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</si>
  <si>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</si>
  <si>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</si>
  <si>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</si>
  <si>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</si>
  <si>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</si>
  <si>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</si>
  <si>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</si>
  <si>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</si>
  <si>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</si>
  <si>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</si>
  <si>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</si>
  <si>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</si>
  <si>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</si>
  <si>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</si>
  <si>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</si>
  <si>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</si>
  <si>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</si>
  <si>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</si>
  <si>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</si>
  <si>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</si>
  <si>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</si>
  <si>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</si>
  <si>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</si>
  <si>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</si>
  <si>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</si>
  <si>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</si>
  <si>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</si>
  <si>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</si>
  <si>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</si>
  <si>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</si>
  <si>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</si>
  <si>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</si>
  <si>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</si>
  <si>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</si>
  <si>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</si>
  <si>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</si>
  <si>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</si>
  <si>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</si>
  <si>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</si>
  <si>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</si>
  <si>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</si>
  <si>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</si>
  <si>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</si>
  <si>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</si>
  <si>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</si>
  <si>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</si>
  <si>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</si>
  <si>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</si>
  <si>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</si>
  <si>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</si>
  <si>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</si>
  <si>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</si>
  <si>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</si>
  <si>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</si>
  <si>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</si>
  <si>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</si>
  <si>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</si>
  <si>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</si>
  <si>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</si>
  <si>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</si>
  <si>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</si>
  <si>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</si>
  <si>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</si>
  <si>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</si>
  <si>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</si>
  <si>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</si>
  <si>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</si>
  <si>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</si>
  <si>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</si>
  <si>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</si>
  <si>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</si>
  <si>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</si>
  <si>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</si>
  <si>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</si>
  <si>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</si>
  <si>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</si>
  <si>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</si>
  <si>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</si>
  <si>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</si>
  <si>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</si>
  <si>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</si>
  <si>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</si>
  <si>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</si>
  <si>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</si>
  <si>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</si>
  <si>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</si>
  <si>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</si>
  <si>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</si>
  <si>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</si>
  <si>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</si>
  <si>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</si>
  <si>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</si>
  <si>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</si>
  <si>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</si>
  <si>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</si>
  <si>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</si>
  <si>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</si>
  <si>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</si>
  <si>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</si>
  <si>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</si>
  <si>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</si>
  <si>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</si>
  <si>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</si>
  <si>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</si>
  <si>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</si>
  <si>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</si>
  <si>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</si>
  <si>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</si>
  <si>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</si>
  <si>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</si>
  <si>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</si>
  <si>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</si>
  <si>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</si>
  <si>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</si>
  <si>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</si>
  <si>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</si>
  <si>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</si>
  <si>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</si>
  <si>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</si>
  <si>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</si>
  <si>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</si>
  <si>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</si>
  <si>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</si>
  <si>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</si>
  <si>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</si>
  <si>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</si>
  <si>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</si>
  <si>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</si>
  <si>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</si>
  <si>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</si>
  <si>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</si>
  <si>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</si>
  <si>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</si>
  <si>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</si>
  <si>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</si>
  <si>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</si>
  <si>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</si>
  <si>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</si>
  <si>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</si>
  <si>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</si>
  <si>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</si>
  <si>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</si>
  <si>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</si>
  <si>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</si>
  <si>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</si>
  <si>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</si>
  <si>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</si>
  <si>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</si>
  <si>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</si>
  <si>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</si>
  <si>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</si>
  <si>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</si>
  <si>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</si>
  <si>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</si>
  <si>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</si>
  <si>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</si>
  <si>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</si>
  <si>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</si>
  <si>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</si>
  <si>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</si>
  <si>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</si>
  <si>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</si>
  <si>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</si>
  <si>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</si>
  <si>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</si>
  <si>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</si>
  <si>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</si>
  <si>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</si>
  <si>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</si>
  <si>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</si>
  <si>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</si>
  <si>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</si>
  <si>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</si>
  <si>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</si>
  <si>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</si>
  <si>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</si>
  <si>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</si>
  <si>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</si>
  <si>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</si>
  <si>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</si>
  <si>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</si>
  <si>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</si>
  <si>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</si>
  <si>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</si>
  <si>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</si>
  <si>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</si>
  <si>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</si>
  <si>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</si>
  <si>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</si>
  <si>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</si>
  <si>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</si>
  <si>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</si>
  <si>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</si>
  <si>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</si>
  <si>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</si>
  <si>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</si>
  <si>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</si>
  <si>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</si>
  <si>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</si>
  <si>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</si>
  <si>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</si>
  <si>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</si>
  <si>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</si>
  <si>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</si>
  <si>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</si>
  <si>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</si>
  <si>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</si>
  <si>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</si>
  <si>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</si>
  <si>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</si>
  <si>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</si>
  <si>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</si>
  <si>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</si>
  <si>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</si>
  <si>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</si>
  <si>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</si>
  <si>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</si>
  <si>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</si>
  <si>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</si>
  <si>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</si>
  <si>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</si>
  <si>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</si>
  <si>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</si>
  <si>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</si>
  <si>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</si>
  <si>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</si>
  <si>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</si>
  <si>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</si>
  <si>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</si>
  <si>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</si>
  <si>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</si>
  <si>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</si>
  <si>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</si>
  <si>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</si>
  <si>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</si>
  <si>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</si>
  <si>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</si>
  <si>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</si>
  <si>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</si>
  <si>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</si>
  <si>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</si>
  <si>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</si>
  <si>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</si>
  <si>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</si>
  <si>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</si>
  <si>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</si>
  <si>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</si>
  <si>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</si>
  <si>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</si>
  <si>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</si>
  <si>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</si>
  <si>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</si>
  <si>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</si>
  <si>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</si>
  <si>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</si>
  <si>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</si>
  <si>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</si>
  <si>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</si>
  <si>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</si>
  <si>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</si>
  <si>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</si>
  <si>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</si>
  <si>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</si>
  <si>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</si>
  <si>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</si>
  <si>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</si>
  <si>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</si>
  <si>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</si>
  <si>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</si>
  <si>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</si>
  <si>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</si>
  <si>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</si>
  <si>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</si>
  <si>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</si>
  <si>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</si>
  <si>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</si>
  <si>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</si>
  <si>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</si>
  <si>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</si>
  <si>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</si>
  <si>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</si>
  <si>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</si>
  <si>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</si>
  <si>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</si>
  <si>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</si>
  <si>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</si>
  <si>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</si>
  <si>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</si>
  <si>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</si>
  <si>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</si>
  <si>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</si>
  <si>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</si>
  <si>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</si>
  <si>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</si>
  <si>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</si>
  <si>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</si>
  <si>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</si>
  <si>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</si>
  <si>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</si>
  <si>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</si>
  <si>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</si>
  <si>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</si>
  <si>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</si>
  <si>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</si>
  <si>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</si>
  <si>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</si>
  <si>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</si>
  <si>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</si>
  <si>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</si>
  <si>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</si>
  <si>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</si>
  <si>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</si>
  <si>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</si>
  <si>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</si>
  <si>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</si>
  <si>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</si>
  <si>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</si>
  <si>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</si>
  <si>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</si>
  <si>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</si>
  <si>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</si>
  <si>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</si>
  <si>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</si>
  <si>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</si>
  <si>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</si>
  <si>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</si>
  <si>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</si>
  <si>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</si>
  <si>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</si>
  <si>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</si>
  <si>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</si>
  <si>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</si>
  <si>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</si>
  <si>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</si>
  <si>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</si>
  <si>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</si>
  <si>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</si>
  <si>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</si>
  <si>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</si>
  <si>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</si>
  <si>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</si>
  <si>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</si>
  <si>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</si>
  <si>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</si>
  <si>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</si>
  <si>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</si>
  <si>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</si>
  <si>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</si>
  <si>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</si>
  <si>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</si>
  <si>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</si>
  <si>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</si>
  <si>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</si>
  <si>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</si>
  <si>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</si>
  <si>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</si>
  <si>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</si>
  <si>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</si>
  <si>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</si>
  <si>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</si>
  <si>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</si>
  <si>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</si>
  <si>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</si>
  <si>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</si>
  <si>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</si>
  <si>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</si>
  <si>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</si>
  <si>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</si>
  <si>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</si>
  <si>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</si>
  <si>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</si>
  <si>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</si>
  <si>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</si>
  <si>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</si>
  <si>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</si>
  <si>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</si>
  <si>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</si>
  <si>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</si>
  <si>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</si>
  <si>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</si>
  <si>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</si>
  <si>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</si>
  <si>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</si>
  <si>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</si>
  <si>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</si>
  <si>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</si>
  <si>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</si>
  <si>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</si>
  <si>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</si>
  <si>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</si>
  <si>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</si>
  <si>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</si>
  <si>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</si>
  <si>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</si>
  <si>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</si>
  <si>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</si>
  <si>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</si>
  <si>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</si>
  <si>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</si>
  <si>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</si>
  <si>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</si>
  <si>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</si>
  <si>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</si>
  <si>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</si>
  <si>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</si>
  <si>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</si>
  <si>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</si>
  <si>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</si>
  <si>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</si>
  <si>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</si>
  <si>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</si>
  <si>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</si>
  <si>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</si>
  <si>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</si>
  <si>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</si>
  <si>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</si>
  <si>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</si>
  <si>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</si>
  <si>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</si>
  <si>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</si>
  <si>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</si>
  <si>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</si>
  <si>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</si>
  <si>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</si>
  <si>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</si>
  <si>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</si>
  <si>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</si>
  <si>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</si>
  <si>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</si>
  <si>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</si>
  <si>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</si>
  <si>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</si>
  <si>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</si>
  <si>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</si>
  <si>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</si>
  <si>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</si>
  <si>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</si>
  <si>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</si>
  <si>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</si>
  <si>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</si>
  <si>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</si>
  <si>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</si>
  <si>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</si>
  <si>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</si>
  <si>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</si>
  <si>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</si>
  <si>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</si>
  <si>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</si>
  <si>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</si>
  <si>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</si>
  <si>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</si>
  <si>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</si>
  <si>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</si>
  <si>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</si>
  <si>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</si>
  <si>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</si>
  <si>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</si>
  <si>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</si>
  <si>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</si>
  <si>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</si>
  <si>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</si>
  <si>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</si>
  <si>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</si>
  <si>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</si>
  <si>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</si>
  <si>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</si>
  <si>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</si>
  <si>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</si>
  <si>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</si>
  <si>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</si>
  <si>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</si>
  <si>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</si>
  <si>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</si>
  <si>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</si>
  <si>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</si>
  <si>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</si>
  <si>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</si>
  <si>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</si>
  <si>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</si>
  <si>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</si>
  <si>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</si>
  <si>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</si>
  <si>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</si>
  <si>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</si>
  <si>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</si>
  <si>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</si>
  <si>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</si>
  <si>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</si>
  <si>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</si>
  <si>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</si>
  <si>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</si>
  <si>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</si>
  <si>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</si>
  <si>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</si>
  <si>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</si>
  <si>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</si>
  <si>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</si>
  <si>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</si>
  <si>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</si>
  <si>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</si>
  <si>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</si>
  <si>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</si>
  <si>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</si>
  <si>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</si>
  <si>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</si>
  <si>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</si>
  <si>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</si>
  <si>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</si>
  <si>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</si>
  <si>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</si>
  <si>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</si>
  <si>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</si>
  <si>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</si>
  <si>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</si>
  <si>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</si>
  <si>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</si>
  <si>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</si>
  <si>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</si>
  <si>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</si>
  <si>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</si>
  <si>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</si>
  <si>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</si>
  <si>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</si>
  <si>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</si>
  <si>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</si>
  <si>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</si>
  <si>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</si>
  <si>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</si>
  <si>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</si>
  <si>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</si>
  <si>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</si>
  <si>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</si>
  <si>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</si>
  <si>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</si>
  <si>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</si>
  <si>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</si>
  <si>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</si>
  <si>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</si>
  <si>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</si>
  <si>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</si>
  <si>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</si>
  <si>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</si>
  <si>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</si>
  <si>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</si>
  <si>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</si>
  <si>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</si>
  <si>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</si>
  <si>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</si>
  <si>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</si>
  <si>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</si>
  <si>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</si>
  <si>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</si>
  <si>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</si>
  <si>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</si>
  <si>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</si>
  <si>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</si>
  <si>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</si>
  <si>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</si>
  <si>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</si>
  <si>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</si>
  <si>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</si>
  <si>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</si>
  <si>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</si>
  <si>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</si>
  <si>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</si>
  <si>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</si>
  <si>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</si>
  <si>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</si>
  <si>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</si>
  <si>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</si>
  <si>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</si>
  <si>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</si>
  <si>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</si>
  <si>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</si>
  <si>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</si>
  <si>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</si>
  <si>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</si>
  <si>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</si>
  <si>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</si>
  <si>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</si>
  <si>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</si>
  <si>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</si>
  <si>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</si>
  <si>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</si>
  <si>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</si>
  <si>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</si>
  <si>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</si>
  <si>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</si>
  <si>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</si>
  <si>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</si>
  <si>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</si>
  <si>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</si>
  <si>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</si>
  <si>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</si>
  <si>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</si>
  <si>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</si>
  <si>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</si>
  <si>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</si>
  <si>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</si>
  <si>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</si>
  <si>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</si>
  <si>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</si>
  <si>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</si>
  <si>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</si>
  <si>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</si>
  <si>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</si>
  <si>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</si>
  <si>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</si>
  <si>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</si>
  <si>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</si>
  <si>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</si>
  <si>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</si>
  <si>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</si>
  <si>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</si>
  <si>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</si>
  <si>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</si>
  <si>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</si>
  <si>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</si>
  <si>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</si>
  <si>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</si>
  <si>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</si>
  <si>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</si>
  <si>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</si>
  <si>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</si>
  <si>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</si>
  <si>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</si>
  <si>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</si>
  <si>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</si>
  <si>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</si>
  <si>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</si>
  <si>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</si>
  <si>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</si>
  <si>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</si>
  <si>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</si>
  <si>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</si>
  <si>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</si>
  <si>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</si>
  <si>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</si>
  <si>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</si>
  <si>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</si>
  <si>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</si>
  <si>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</si>
  <si>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</si>
  <si>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</si>
  <si>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</si>
  <si>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</si>
  <si>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</si>
  <si>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</si>
  <si>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</si>
  <si>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</si>
  <si>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</si>
  <si>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</si>
  <si>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</si>
  <si>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</si>
  <si>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</si>
  <si>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</si>
  <si>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</si>
  <si>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</si>
  <si>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</si>
  <si>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</si>
  <si>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</si>
  <si>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</si>
  <si>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</si>
  <si>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</si>
  <si>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</si>
  <si>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</si>
  <si>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</si>
  <si>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</si>
  <si>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</si>
  <si>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</si>
  <si>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</si>
  <si>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</si>
  <si>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</si>
  <si>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</si>
  <si>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</si>
  <si>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</si>
  <si>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</si>
  <si>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</si>
  <si>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</si>
  <si>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</si>
  <si>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</si>
  <si>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</si>
  <si>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</si>
  <si>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</si>
  <si>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</si>
  <si>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</si>
  <si>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</si>
  <si>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</si>
  <si>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</si>
  <si>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</si>
  <si>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</si>
  <si>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</si>
  <si>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</si>
  <si>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</si>
  <si>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</si>
  <si>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</si>
  <si>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</si>
  <si>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</si>
  <si>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</si>
  <si>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</si>
  <si>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</si>
  <si>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</si>
  <si>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</si>
  <si>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</si>
  <si>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</si>
  <si>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</si>
  <si>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</si>
  <si>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</si>
  <si>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</si>
  <si>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</si>
  <si>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</si>
  <si>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</si>
  <si>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</si>
  <si>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</si>
  <si>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</si>
  <si>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</si>
  <si>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</si>
  <si>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</si>
  <si>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</si>
  <si>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</si>
  <si>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</si>
  <si>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</si>
  <si>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</si>
  <si>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</si>
  <si>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</si>
  <si>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</si>
  <si>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</si>
  <si>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</si>
  <si>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</si>
  <si>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</si>
  <si>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</si>
  <si>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</si>
  <si>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</si>
  <si>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</si>
  <si>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</si>
  <si>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</si>
  <si>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</si>
  <si>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</si>
  <si>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</si>
  <si>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</si>
  <si>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</si>
  <si>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</si>
  <si>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</si>
  <si>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</si>
  <si>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</si>
  <si>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</si>
  <si>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</si>
  <si>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</si>
  <si>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</si>
  <si>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</si>
  <si>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</si>
  <si>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</si>
  <si>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</si>
  <si>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</si>
  <si>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</si>
  <si>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</si>
  <si>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</si>
  <si>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</si>
  <si>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</si>
  <si>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</si>
  <si>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</si>
  <si>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</si>
  <si>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</si>
  <si>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</si>
  <si>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</si>
  <si>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</si>
  <si>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</si>
  <si>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</si>
  <si>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</si>
  <si>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</si>
  <si>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</si>
  <si>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</si>
  <si>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</si>
  <si>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</si>
  <si>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</si>
  <si>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</si>
  <si>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</si>
  <si>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</si>
  <si>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</si>
  <si>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</si>
  <si>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</si>
  <si>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</si>
  <si>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</si>
  <si>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</si>
  <si>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</si>
  <si>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</si>
  <si>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</si>
  <si>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</si>
  <si>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</si>
  <si>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</si>
  <si>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</si>
  <si>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</si>
  <si>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</si>
  <si>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</si>
  <si>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</si>
  <si>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</si>
  <si>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</si>
  <si>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</si>
  <si>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</si>
  <si>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</si>
  <si>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</si>
  <si>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</si>
  <si>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</si>
  <si>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</si>
  <si>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</si>
  <si>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</si>
  <si>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</si>
  <si>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</si>
  <si>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</si>
  <si>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</si>
  <si>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</si>
  <si>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</si>
  <si>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</si>
  <si>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</si>
  <si>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</si>
  <si>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</si>
  <si>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</si>
  <si>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</si>
  <si>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</si>
  <si>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</si>
  <si>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</si>
  <si>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</si>
  <si>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</si>
  <si>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</si>
  <si>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</si>
  <si>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</si>
  <si>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</si>
  <si>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</si>
  <si>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</si>
  <si>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</si>
  <si>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</si>
  <si>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</si>
  <si>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</si>
  <si>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</si>
  <si>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</si>
  <si>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</si>
  <si>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</si>
  <si>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</si>
  <si>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</si>
  <si>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</si>
  <si>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</si>
  <si>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</si>
  <si>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</si>
  <si>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</si>
  <si>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</si>
  <si>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</si>
  <si>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</si>
  <si>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</si>
  <si>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</si>
  <si>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</si>
  <si>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</si>
  <si>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</si>
  <si>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</si>
  <si>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</si>
  <si>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</si>
  <si>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</si>
  <si>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</si>
  <si>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</si>
  <si>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</si>
  <si>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</si>
  <si>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</si>
  <si>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</si>
  <si>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</si>
  <si>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</si>
  <si>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</si>
  <si>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</si>
  <si>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</si>
  <si>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</si>
  <si>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</si>
  <si>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</si>
  <si>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</si>
  <si>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</si>
  <si>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</si>
  <si>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</si>
  <si>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</si>
  <si>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</si>
  <si>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</si>
  <si>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</si>
  <si>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</si>
  <si>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</si>
  <si>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</si>
  <si>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</si>
  <si>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</si>
  <si>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</si>
  <si>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</si>
  <si>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</si>
  <si>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</si>
  <si>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</si>
  <si>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</si>
  <si>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</si>
  <si>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</si>
  <si>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</si>
  <si>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</si>
  <si>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</si>
  <si>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</si>
  <si>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</si>
  <si>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</si>
  <si>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</si>
  <si>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</si>
  <si>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</si>
  <si>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</si>
  <si>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</si>
  <si>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</si>
  <si>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</si>
  <si>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</si>
  <si>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</si>
  <si>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</si>
  <si>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</si>
  <si>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</si>
  <si>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</si>
  <si>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</si>
  <si>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</si>
  <si>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</si>
  <si>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</si>
  <si>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</si>
  <si>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</si>
  <si>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</si>
  <si>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</si>
  <si>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</si>
  <si>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</si>
  <si>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</si>
  <si>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</si>
  <si>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</si>
  <si>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</si>
  <si>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</si>
  <si>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</si>
  <si>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</si>
  <si>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</si>
  <si>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</si>
  <si>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</si>
  <si>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</si>
  <si>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</si>
  <si>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</si>
  <si>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</si>
  <si>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</si>
  <si>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</si>
  <si>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</si>
  <si>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</si>
  <si>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</si>
  <si>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</si>
  <si>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</si>
  <si>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</si>
  <si>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</si>
  <si>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</si>
  <si>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</si>
  <si>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</si>
  <si>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</si>
  <si>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</si>
  <si>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</si>
  <si>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</si>
  <si>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</si>
  <si>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</si>
  <si>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</si>
  <si>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</si>
  <si>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</si>
  <si>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</si>
  <si>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</si>
  <si>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</si>
  <si>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</si>
  <si>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</si>
  <si>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</si>
  <si>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</si>
  <si>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</si>
  <si>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</si>
  <si>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</si>
  <si>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</si>
  <si>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</si>
  <si>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</si>
  <si>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</si>
  <si>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</si>
  <si>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</si>
  <si>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</si>
  <si>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</si>
  <si>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</si>
  <si>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</si>
  <si>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</si>
  <si>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</si>
  <si>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</si>
  <si>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</si>
  <si>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</si>
  <si>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</si>
  <si>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</si>
  <si>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</si>
  <si>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</si>
  <si>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</si>
  <si>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</si>
  <si>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</si>
  <si>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</si>
  <si>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</si>
  <si>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</si>
  <si>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</si>
  <si>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</si>
  <si>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</si>
  <si>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</si>
  <si>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</si>
  <si>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</si>
  <si>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</si>
  <si>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</si>
  <si>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</si>
  <si>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</si>
  <si>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</si>
  <si>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</si>
  <si>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</si>
  <si>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</si>
  <si>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</si>
  <si>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</si>
  <si>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</si>
  <si>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</si>
  <si>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</si>
  <si>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</si>
  <si>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</si>
  <si>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</si>
  <si>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</si>
  <si>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</si>
  <si>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</si>
  <si>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</si>
  <si>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</si>
  <si>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</si>
  <si>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</si>
  <si>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</si>
  <si>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</si>
  <si>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</si>
  <si>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</si>
  <si>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</si>
  <si>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</si>
  <si>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</si>
  <si>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</si>
  <si>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</si>
  <si>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</si>
  <si>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</si>
  <si>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</si>
  <si>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</si>
  <si>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</si>
  <si>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</si>
  <si>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</si>
  <si>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</si>
  <si>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</si>
  <si>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</si>
  <si>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</si>
  <si>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</si>
  <si>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</si>
  <si>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</si>
  <si>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</si>
  <si>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</si>
  <si>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</si>
  <si>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</si>
  <si>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</si>
  <si>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</si>
  <si>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</si>
  <si>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</si>
  <si>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</si>
  <si>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</si>
  <si>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</si>
  <si>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</si>
  <si>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</si>
  <si>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</si>
  <si>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</si>
  <si>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</si>
  <si>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</si>
  <si>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</si>
  <si>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</si>
  <si>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</si>
  <si>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</si>
  <si>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</si>
  <si>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</si>
  <si>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</si>
  <si>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</si>
  <si>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</si>
  <si>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</si>
  <si>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</si>
  <si>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</si>
  <si>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</si>
  <si>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</si>
  <si>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</si>
  <si>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</si>
  <si>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</si>
  <si>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</si>
  <si>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</si>
  <si>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</si>
  <si>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</si>
  <si>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</si>
  <si>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</si>
  <si>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</si>
  <si>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</si>
  <si>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</si>
  <si>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</si>
  <si>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</si>
  <si>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</si>
  <si>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</si>
  <si>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</si>
  <si>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</si>
  <si>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</si>
  <si>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</si>
  <si>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</si>
  <si>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</si>
  <si>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</si>
  <si>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</si>
  <si>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</si>
  <si>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</si>
  <si>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</si>
  <si>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</si>
  <si>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</si>
  <si>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</si>
  <si>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</si>
  <si>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</si>
  <si>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</si>
  <si>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</si>
  <si>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</si>
  <si>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</si>
  <si>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</si>
  <si>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</si>
  <si>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</si>
  <si>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</si>
  <si>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</si>
  <si>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</si>
  <si>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</si>
  <si>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</si>
  <si>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</si>
  <si>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</si>
  <si>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</si>
  <si>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</si>
  <si>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</si>
  <si>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</si>
  <si>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</si>
  <si>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</si>
  <si>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</si>
  <si>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</si>
  <si>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</si>
  <si>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</si>
  <si>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</si>
  <si>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</si>
  <si>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</si>
  <si>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</si>
  <si>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</si>
  <si>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</si>
  <si>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</si>
  <si>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</si>
  <si>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</si>
  <si>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</si>
  <si>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</si>
  <si>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</si>
  <si>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</si>
  <si>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</si>
  <si>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</si>
  <si>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</si>
  <si>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</si>
  <si>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</si>
  <si>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</si>
  <si>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</si>
  <si>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</si>
  <si>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</si>
  <si>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</si>
  <si>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</si>
  <si>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</si>
  <si>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</si>
  <si>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</si>
  <si>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</si>
  <si>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</si>
  <si>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</si>
  <si>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</si>
  <si>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</si>
  <si>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</si>
  <si>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</si>
  <si>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ANTOINE ROBE</t>
  </si>
  <si>
    <t xml:space="preserve">GARDON DE SAINT JEAN</t>
  </si>
  <si>
    <t xml:space="preserve">GARDON DE ST JEAN A THOIRAS</t>
  </si>
  <si>
    <t xml:space="preserve">06128720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</si>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</sst>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42908</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10.2272727272727</v>
      </c>
      <c r="N5" s="324"/>
      <c r="O5" s="325" t="s">
        <v>134</v>
      </c>
      <c r="P5" s="326" t="n">
        <v>11.1666666666667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3392</v>
      </c>
      <c r="Q6" s="339"/>
      <c r="R6" s="281"/>
      <c r="S6" s="281"/>
      <c r="T6" s="281"/>
      <c r="U6" s="281"/>
      <c r="V6" s="281"/>
      <c r="W6" s="295"/>
      <c r="X6" s="0"/>
      <c r="Y6" s="0"/>
      <c r="Z6" s="0"/>
    </row>
    <row r="7" customFormat="false" ht="12.75" hidden="false" customHeight="false" outlineLevel="0" collapsed="false">
      <c r="A7" s="340" t="s">
        <v>3393</v>
      </c>
      <c r="B7" s="341" t="n">
        <v>22</v>
      </c>
      <c r="C7" s="342" t="n">
        <v>78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10.3333333333333</v>
      </c>
      <c r="P8" s="356" t="n">
        <f aca="false">IF(ISERROR(AVERAGE(K23:K82)),"  ",AVERAGE(K23:K82))</f>
        <v>1.44444444444444</v>
      </c>
      <c r="Q8" s="357"/>
      <c r="R8" s="281"/>
      <c r="S8" s="281"/>
      <c r="T8" s="281"/>
      <c r="U8" s="281"/>
      <c r="V8" s="281"/>
      <c r="W8" s="295"/>
      <c r="X8" s="0"/>
      <c r="Y8" s="0"/>
      <c r="Z8" s="0"/>
    </row>
    <row r="9" customFormat="false" ht="12.75" hidden="false" customHeight="false" outlineLevel="0" collapsed="false">
      <c r="A9" s="314" t="s">
        <v>3399</v>
      </c>
      <c r="B9" s="358" t="n">
        <v>16</v>
      </c>
      <c r="C9" s="359" t="n">
        <v>30</v>
      </c>
      <c r="D9" s="360"/>
      <c r="E9" s="360"/>
      <c r="F9" s="361" t="n">
        <f aca="false">($B9*$B$7+$C9*$C$7)/100</f>
        <v>26.92</v>
      </c>
      <c r="G9" s="362"/>
      <c r="H9" s="317"/>
      <c r="I9" s="281"/>
      <c r="J9" s="363"/>
      <c r="K9" s="364"/>
      <c r="L9" s="347"/>
      <c r="M9" s="365"/>
      <c r="N9" s="355" t="s">
        <v>3400</v>
      </c>
      <c r="O9" s="356" t="n">
        <f aca="false">IF(ISERROR(STDEVP(J23:J82))," ",STDEVP(J23:J82))</f>
        <v>2.74873708374511</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8</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14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5</v>
      </c>
      <c r="M15" s="381"/>
      <c r="N15" s="389" t="s">
        <v>3418</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0.642857142857143</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16.1</v>
      </c>
      <c r="C20" s="433" t="n">
        <f aca="false">SUM(C23:C82)</f>
        <v>30.6</v>
      </c>
      <c r="D20" s="434"/>
      <c r="E20" s="435" t="s">
        <v>3425</v>
      </c>
      <c r="F20" s="436" t="n">
        <f aca="false">($B20*$B$7+$C20*$C$7)/100</f>
        <v>27.41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3.542</v>
      </c>
      <c r="C21" s="444" t="n">
        <f aca="false">C20*C7/100</f>
        <v>23.868</v>
      </c>
      <c r="D21" s="445" t="s">
        <v>3428</v>
      </c>
      <c r="E21" s="446"/>
      <c r="F21" s="447" t="n">
        <f aca="false">B21+C21</f>
        <v>27.41</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6</v>
      </c>
      <c r="C23" s="473" t="n">
        <v>15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13.02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13.02</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0.1</v>
      </c>
      <c r="C24" s="491" t="n">
        <v>0.05</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0.061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0.061</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0.7</v>
      </c>
      <c r="C25" s="491"/>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0.154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0.154</v>
      </c>
      <c r="S25" s="485" t="n">
        <f aca="false">IF(OR(ISTEXT(H25),R25=0),"",IF(R25&lt;0.1,1,IF(R25&lt;1,2,IF(R25&lt;10,3,IF(R25&lt;50,4,IF(R25&gt;=50,5,""))))))</f>
        <v>2</v>
      </c>
      <c r="T25" s="485" t="n">
        <f aca="false">IF(ISERROR(S25*J25),0,S25*J25)</f>
        <v>20</v>
      </c>
      <c r="U25" s="485" t="n">
        <f aca="false">IF(ISERROR(S25*J25*K25),0,S25*J25*K25)</f>
        <v>20</v>
      </c>
      <c r="V25" s="501" t="n">
        <f aca="false">IF(ISERROR(S25*K25),0,S25*K25)</f>
        <v>2</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291</v>
      </c>
      <c r="B26" s="490" t="n">
        <v>0.1</v>
      </c>
      <c r="C26" s="491"/>
      <c r="D26" s="492" t="str">
        <f aca="false">IF(ISERROR(VLOOKUP($A26,'liste reference'!$A$6:$B$1174,2,0)),IF(ISERROR(VLOOKUP($A26,'liste reference'!$B$6:$B$1174,1,0)),"",VLOOKUP($A26,'liste reference'!$B$6:$B$1174,1,0)),VLOOKUP($A26,'liste reference'!$A$6:$B$1174,2,0))</f>
        <v>Nostoc sp.</v>
      </c>
      <c r="E26" s="493" t="e">
        <f aca="false">IF(D26="",0,VLOOKUP(D26,D$22:D25,1,0))</f>
        <v>#N/A</v>
      </c>
      <c r="F26" s="494" t="n">
        <f aca="false">IF(AND(OR(A26="",A26="!!!!!!"),B26="",C26=""),"",IF(OR(AND(B26="",C26=""),ISERROR(C26+B26)),"!!!",($B26*$B$7+$C26*$C$7)/100))</f>
        <v>0.022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9</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Nostoc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1105</v>
      </c>
      <c r="R26" s="484" t="n">
        <f aca="false">IF(ISTEXT(H26),"",(B26*$B$7/100)+(C26*$C$7/100))</f>
        <v>0.022</v>
      </c>
      <c r="S26" s="485" t="n">
        <f aca="false">IF(OR(ISTEXT(H26),R26=0),"",IF(R26&lt;0.1,1,IF(R26&lt;1,2,IF(R26&lt;10,3,IF(R26&lt;50,4,IF(R26&gt;=50,5,""))))))</f>
        <v>1</v>
      </c>
      <c r="T26" s="485" t="n">
        <f aca="false">IF(ISERROR(S26*J26),0,S26*J26)</f>
        <v>9</v>
      </c>
      <c r="U26" s="485" t="n">
        <f aca="false">IF(ISERROR(S26*J26*K26),0,S26*J26*K26)</f>
        <v>9</v>
      </c>
      <c r="V26" s="501" t="n">
        <f aca="false">IF(ISERROR(S26*K26),0,S26*K26)</f>
        <v>1</v>
      </c>
      <c r="W26" s="502"/>
      <c r="X26" s="503"/>
      <c r="Y26" s="488" t="str">
        <f aca="false">IF(AND(ISNUMBER(F26),OR(A26="",A26="!!!!!!")),"!!!!!!",IF(A26="new.cod","NEWCOD",IF(AND((Z26=""),ISTEXT(A26),A26&lt;&gt;"!!!!!!"),A26,IF(Z26="","",INDEX('liste reference'!$A$6:$A$1174,Z26)))))</f>
        <v>NOSSPX</v>
      </c>
      <c r="Z26" s="470" t="n">
        <f aca="false">IF(ISERROR(MATCH(A26,'liste reference'!$A$6:$A$1174,0)),IF(ISERROR(MATCH(A26,'liste reference'!$B$6:$B$1174,0)),"",(MATCH(A26,'liste reference'!$B$6:$B$1174,0))),(MATCH(A26,'liste reference'!$A$6:$A$1174,0)))</f>
        <v>84</v>
      </c>
    </row>
    <row r="27" customFormat="false" ht="12.75" hidden="false" customHeight="false" outlineLevel="0" collapsed="false">
      <c r="A27" s="489" t="s">
        <v>306</v>
      </c>
      <c r="B27" s="490" t="n">
        <v>0.07</v>
      </c>
      <c r="C27" s="491"/>
      <c r="D27" s="492" t="str">
        <f aca="false">IF(ISERROR(VLOOKUP($A27,'liste reference'!$A$6:$B$1174,2,0)),IF(ISERROR(VLOOKUP($A27,'liste reference'!$B$6:$B$1174,1,0)),"",VLOOKUP($A27,'liste reference'!$B$6:$B$1174,1,0)),VLOOKUP($A27,'liste reference'!$A$6:$B$1174,2,0))</f>
        <v>Paralemanea sp.</v>
      </c>
      <c r="E27" s="493" t="e">
        <f aca="false">IF(D27="",0,VLOOKUP(D27,D$22:D26,1,0))</f>
        <v>#N/A</v>
      </c>
      <c r="F27" s="494" t="n">
        <f aca="false">IF(AND(OR(A27="",A27="!!!!!!"),B27="",C27=""),"",IF(OR(AND(B27="",C27=""),ISERROR(C27+B27)),"!!!",($B27*$B$7+$C27*$C$7)/100))</f>
        <v>0.0154</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Paralemanea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31566</v>
      </c>
      <c r="R27" s="484" t="n">
        <f aca="false">IF(ISTEXT(H27),"",(B27*$B$7/100)+(C27*$C$7/100))</f>
        <v>0.0154</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PAASPX</v>
      </c>
      <c r="Z27" s="470" t="n">
        <f aca="false">IF(ISERROR(MATCH(A27,'liste reference'!$A$6:$A$1174,0)),IF(ISERROR(MATCH(A27,'liste reference'!$B$6:$B$1174,0)),"",(MATCH(A27,'liste reference'!$B$6:$B$1174,0))),(MATCH(A27,'liste reference'!$A$6:$A$1174,0)))</f>
        <v>87</v>
      </c>
    </row>
    <row r="28" customFormat="false" ht="12.75" hidden="false" customHeight="false" outlineLevel="0" collapsed="false">
      <c r="A28" s="489" t="s">
        <v>309</v>
      </c>
      <c r="B28" s="490" t="n">
        <v>0.02</v>
      </c>
      <c r="C28" s="491" t="n">
        <v>0.5</v>
      </c>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0.3944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0.3944</v>
      </c>
      <c r="S28" s="485" t="n">
        <f aca="false">IF(OR(ISTEXT(H28),R28=0),"",IF(R28&lt;0.1,1,IF(R28&lt;1,2,IF(R28&lt;10,3,IF(R28&lt;50,4,IF(R28&gt;=50,5,""))))))</f>
        <v>2</v>
      </c>
      <c r="T28" s="485" t="n">
        <f aca="false">IF(ISERROR(S28*J28),0,S28*J28)</f>
        <v>26</v>
      </c>
      <c r="U28" s="485" t="n">
        <f aca="false">IF(ISERROR(S28*J28*K28),0,S28*J28*K28)</f>
        <v>52</v>
      </c>
      <c r="V28" s="501" t="n">
        <f aca="false">IF(ISERROR(S28*K28),0,S28*K28)</f>
        <v>4</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343</v>
      </c>
      <c r="B29" s="490" t="n">
        <v>9</v>
      </c>
      <c r="C29" s="491" t="n">
        <v>15</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13.68</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13.68</v>
      </c>
      <c r="S29" s="485" t="n">
        <f aca="false">IF(OR(ISTEXT(H29),R29=0),"",IF(R29&lt;0.1,1,IF(R29&lt;1,2,IF(R29&lt;10,3,IF(R29&lt;50,4,IF(R29&gt;=50,5,""))))))</f>
        <v>4</v>
      </c>
      <c r="T29" s="485" t="n">
        <f aca="false">IF(ISERROR(S29*J29),0,S29*J29)</f>
        <v>40</v>
      </c>
      <c r="U29" s="485" t="n">
        <f aca="false">IF(ISERROR(S29*J29*K29),0,S29*J29*K29)</f>
        <v>40</v>
      </c>
      <c r="V29" s="501" t="n">
        <f aca="false">IF(ISERROR(S29*K29),0,S29*K29)</f>
        <v>4</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348</v>
      </c>
      <c r="B30" s="490" t="n">
        <v>0.07</v>
      </c>
      <c r="C30" s="491"/>
      <c r="D30" s="492" t="str">
        <f aca="false">IF(ISERROR(VLOOKUP($A30,'liste reference'!$A$6:$B$1174,2,0)),IF(ISERROR(VLOOKUP($A30,'liste reference'!$B$6:$B$1174,1,0)),"",VLOOKUP($A30,'liste reference'!$B$6:$B$1174,1,0)),VLOOKUP($A30,'liste reference'!$A$6:$B$1174,2,0))</f>
        <v>Stigeoclonium sp. (excep. S. tenue)</v>
      </c>
      <c r="E30" s="493" t="e">
        <f aca="false">IF(D30="",0,VLOOKUP(D30,D$22:D29,1,0))</f>
        <v>#N/A</v>
      </c>
      <c r="F30" s="494" t="n">
        <f aca="false">IF(AND(OR(A30="",A30="!!!!!!"),B30="",C30=""),"",IF(OR(AND(B30="",C30=""),ISERROR(C30+B30)),"!!!",($B30*$B$7+$C30*$C$7)/100))</f>
        <v>0.0154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Stigeoclonium sp. (excep. S. tenue)</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1119</v>
      </c>
      <c r="R30" s="484" t="n">
        <f aca="false">IF(ISTEXT(H30),"",(B30*$B$7/100)+(C30*$C$7/100))</f>
        <v>0.0154</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STISPX</v>
      </c>
      <c r="Z30" s="470" t="n">
        <f aca="false">IF(ISERROR(MATCH(A30,'liste reference'!$A$6:$A$1174,0)),IF(ISERROR(MATCH(A30,'liste reference'!$B$6:$B$1174,0)),"",(MATCH(A30,'liste reference'!$B$6:$B$1174,0))),(MATCH(A30,'liste reference'!$A$6:$A$1174,0)))</f>
        <v>104</v>
      </c>
    </row>
    <row r="31" customFormat="false" ht="12.75" hidden="false" customHeight="false" outlineLevel="0" collapsed="false">
      <c r="A31" s="489" t="s">
        <v>1255</v>
      </c>
      <c r="B31" s="490"/>
      <c r="C31" s="491" t="n">
        <v>0.01</v>
      </c>
      <c r="D31" s="492" t="str">
        <f aca="false">IF(ISERROR(VLOOKUP($A31,'liste reference'!$A$6:$B$1174,2,0)),IF(ISERROR(VLOOKUP($A31,'liste reference'!$B$6:$B$1174,1,0)),"",VLOOKUP($A31,'liste reference'!$B$6:$B$1174,1,0)),VLOOKUP($A31,'liste reference'!$A$6:$B$1174,2,0))</f>
        <v>Equisetum arvense</v>
      </c>
      <c r="E31" s="493" t="e">
        <f aca="false">IF(D31="",0,VLOOKUP(D31,D$22:D30,1,0))</f>
        <v>#N/A</v>
      </c>
      <c r="F31" s="494" t="n">
        <f aca="false">IF(AND(OR(A31="",A31="!!!!!!"),B31="",C31=""),"",IF(OR(AND(B31="",C31=""),ISERROR(C31+B31)),"!!!",($B31*$B$7+$C31*$C$7)/100))</f>
        <v>0.0078</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arvense</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1384</v>
      </c>
      <c r="R31" s="484" t="n">
        <f aca="false">IF(ISTEXT(H31),"",(B31*$B$7/100)+(C31*$C$7/100))</f>
        <v>0.0078</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EQUARV</v>
      </c>
      <c r="Z31" s="470" t="n">
        <f aca="false">IF(ISERROR(MATCH(A31,'liste reference'!$A$6:$A$1174,0)),IF(ISERROR(MATCH(A31,'liste reference'!$B$6:$B$1174,0)),"",(MATCH(A31,'liste reference'!$B$6:$B$1174,0))),(MATCH(A31,'liste reference'!$A$6:$A$1174,0)))</f>
        <v>385</v>
      </c>
    </row>
    <row r="32" customFormat="false" ht="12.75" hidden="false" customHeight="false" outlineLevel="0" collapsed="false">
      <c r="A32" s="489" t="s">
        <v>1657</v>
      </c>
      <c r="B32" s="490"/>
      <c r="C32" s="491" t="n">
        <v>0.01</v>
      </c>
      <c r="D32" s="492" t="str">
        <f aca="false">IF(ISERROR(VLOOKUP($A32,'liste reference'!$A$6:$B$1174,2,0)),IF(ISERROR(VLOOKUP($A32,'liste reference'!$B$6:$B$1174,1,0)),"",VLOOKUP($A32,'liste reference'!$B$6:$B$1174,1,0)),VLOOKUP($A32,'liste reference'!$A$6:$B$1174,2,0))</f>
        <v>Potamogeton crispus</v>
      </c>
      <c r="E32" s="493" t="e">
        <f aca="false">IF(D32="",0,VLOOKUP(D32,D$22:D31,1,0))</f>
        <v>#N/A</v>
      </c>
      <c r="F32" s="494" t="n">
        <f aca="false">IF(AND(OR(A32="",A32="!!!!!!"),B32="",C32=""),"",IF(OR(AND(B32="",C32=""),ISERROR(C32+B32)),"!!!",($B32*$B$7+$C32*$C$7)/100))</f>
        <v>0.0078</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Potamogeton crispus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1645</v>
      </c>
      <c r="R32" s="484" t="n">
        <f aca="false">IF(ISTEXT(H32),"",(B32*$B$7/100)+(C32*$C$7/100))</f>
        <v>0.0078</v>
      </c>
      <c r="S32" s="485" t="n">
        <f aca="false">IF(OR(ISTEXT(H32),R32=0),"",IF(R32&lt;0.1,1,IF(R32&lt;1,2,IF(R32&lt;10,3,IF(R32&lt;50,4,IF(R32&gt;=50,5,""))))))</f>
        <v>1</v>
      </c>
      <c r="T32" s="485" t="n">
        <f aca="false">IF(ISERROR(S32*J32),0,S32*J32)</f>
        <v>7</v>
      </c>
      <c r="U32" s="485" t="n">
        <f aca="false">IF(ISERROR(S32*J32*K32),0,S32*J32*K32)</f>
        <v>14</v>
      </c>
      <c r="V32" s="501" t="n">
        <f aca="false">IF(ISERROR(S32*K32),0,S32*K32)</f>
        <v>2</v>
      </c>
      <c r="W32" s="502"/>
      <c r="X32" s="503"/>
      <c r="Y32" s="488" t="str">
        <f aca="false">IF(AND(ISNUMBER(F32),OR(A32="",A32="!!!!!!")),"!!!!!!",IF(A32="new.cod","NEWCOD",IF(AND((Z32=""),ISTEXT(A32),A32&lt;&gt;"!!!!!!"),A32,IF(Z32="","",INDEX('liste reference'!$A$6:$A$1174,Z32)))))</f>
        <v>POTCRI</v>
      </c>
      <c r="Z32" s="470" t="n">
        <f aca="false">IF(ISERROR(MATCH(A32,'liste reference'!$A$6:$A$1174,0)),IF(ISERROR(MATCH(A32,'liste reference'!$B$6:$B$1174,0)),"",(MATCH(A32,'liste reference'!$B$6:$B$1174,0))),(MATCH(A32,'liste reference'!$A$6:$A$1174,0)))</f>
        <v>522</v>
      </c>
    </row>
    <row r="33" customFormat="false" ht="12.75" hidden="false" customHeight="false" outlineLevel="0" collapsed="false">
      <c r="A33" s="489" t="s">
        <v>1932</v>
      </c>
      <c r="B33" s="490"/>
      <c r="C33" s="491" t="n">
        <v>0.01</v>
      </c>
      <c r="D33" s="492" t="str">
        <f aca="false">IF(ISERROR(VLOOKUP($A33,'liste reference'!$A$6:$B$1174,2,0)),IF(ISERROR(VLOOKUP($A33,'liste reference'!$B$6:$B$1174,1,0)),"",VLOOKUP($A33,'liste reference'!$B$6:$B$1174,1,0)),VLOOKUP($A33,'liste reference'!$A$6:$B$1174,2,0))</f>
        <v>Agrostis stolonifera</v>
      </c>
      <c r="E33" s="493" t="e">
        <f aca="false">IF(D33="",0,VLOOKUP(D33,D$22:D32,1,0))</f>
        <v>#N/A</v>
      </c>
      <c r="F33" s="494" t="n">
        <f aca="false">IF(AND(OR(A33="",A33="!!!!!!"),B33="",C33=""),"",IF(OR(AND(B33="",C33=""),ISERROR(C33+B33)),"!!!",($B33*$B$7+$C33*$C$7)/100))</f>
        <v>0.0078</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Agrostis stolonifera</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1543</v>
      </c>
      <c r="R33" s="484" t="n">
        <f aca="false">IF(ISTEXT(H33),"",(B33*$B$7/100)+(C33*$C$7/100))</f>
        <v>0.0078</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AGRSTO</v>
      </c>
      <c r="Z33" s="470" t="n">
        <f aca="false">IF(ISERROR(MATCH(A33,'liste reference'!$A$6:$A$1174,0)),IF(ISERROR(MATCH(A33,'liste reference'!$B$6:$B$1174,0)),"",(MATCH(A33,'liste reference'!$B$6:$B$1174,0))),(MATCH(A33,'liste reference'!$A$6:$A$1174,0)))</f>
        <v>623</v>
      </c>
    </row>
    <row r="34" customFormat="false" ht="12.75" hidden="false" customHeight="false" outlineLevel="0" collapsed="false">
      <c r="A34" s="489" t="s">
        <v>2615</v>
      </c>
      <c r="B34" s="490" t="n">
        <v>0.01</v>
      </c>
      <c r="C34" s="491"/>
      <c r="D34" s="492" t="str">
        <f aca="false">IF(ISERROR(VLOOKUP($A34,'liste reference'!$A$6:$B$1174,2,0)),IF(ISERROR(VLOOKUP($A34,'liste reference'!$B$6:$B$1174,1,0)),"",VLOOKUP($A34,'liste reference'!$B$6:$B$1174,1,0)),VLOOKUP($A34,'liste reference'!$A$6:$B$1174,2,0))</f>
        <v>Juncus compressus</v>
      </c>
      <c r="E34" s="493" t="e">
        <f aca="false">IF(D34="",0,VLOOKUP(D34,D$22:D33,1,0))</f>
        <v>#N/A</v>
      </c>
      <c r="F34" s="494" t="n">
        <f aca="false">IF(AND(OR(A34="",A34="!!!!!!"),B34="",C34=""),"",IF(OR(AND(B34="",C34=""),ISERROR(C34+B34)),"!!!",($B34*$B$7+$C34*$C$7)/100))</f>
        <v>0.0022</v>
      </c>
      <c r="G34" s="495" t="str">
        <f aca="false">IF(A34="","",IF(ISERROR(VLOOKUP($A34,'liste reference'!$A$6:$Q$1174,9,0)),IF(ISERROR(VLOOKUP($A34,'liste reference'!$B$6:$Q$1174,8,0)),"    -",VLOOKUP($A34,'liste reference'!$B$6:$Q$1174,8,0)),VLOOKUP($A34,'liste reference'!$A$6:$Q$1174,9,0)))</f>
        <v>PHg</v>
      </c>
      <c r="H34" s="496" t="n">
        <f aca="false">IF(A34="","x",IF(ISERROR(VLOOKUP($A34,'liste reference'!$A$6:$Q$1174,10,0)),IF(ISERROR(VLOOKUP($A34,'liste reference'!$B$6:$Q$1174,9,0)),"x",VLOOKUP($A34,'liste reference'!$B$6:$Q$1174,9,0)),VLOOKUP($A34,'liste reference'!$A$6:$Q$1174,10,0)))</f>
        <v>9</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Juncus compressus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19818</v>
      </c>
      <c r="R34" s="484" t="n">
        <f aca="false">IF(ISTEXT(H34),"",(B34*$B$7/100)+(C34*$C$7/100))</f>
        <v>0.0022</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JUNCOM</v>
      </c>
      <c r="Z34" s="470" t="n">
        <f aca="false">IF(ISERROR(MATCH(A34,'liste reference'!$A$6:$A$1174,0)),IF(ISERROR(MATCH(A34,'liste reference'!$B$6:$B$1174,0)),"",(MATCH(A34,'liste reference'!$B$6:$B$1174,0))),(MATCH(A34,'liste reference'!$A$6:$A$1174,0)))</f>
        <v>875</v>
      </c>
    </row>
    <row r="35" customFormat="false" ht="12.75" hidden="false" customHeight="false" outlineLevel="0" collapsed="false">
      <c r="A35" s="489" t="s">
        <v>2688</v>
      </c>
      <c r="B35" s="490"/>
      <c r="C35" s="491" t="n">
        <v>0.01</v>
      </c>
      <c r="D35" s="492" t="str">
        <f aca="false">IF(ISERROR(VLOOKUP($A35,'liste reference'!$A$6:$B$1174,2,0)),IF(ISERROR(VLOOKUP($A35,'liste reference'!$B$6:$B$1174,1,0)),"",VLOOKUP($A35,'liste reference'!$B$6:$B$1174,1,0)),VLOOKUP($A35,'liste reference'!$A$6:$B$1174,2,0))</f>
        <v>Lysimachia vulgaris</v>
      </c>
      <c r="E35" s="493" t="e">
        <f aca="false">IF(D35="",0,VLOOKUP(D35,D$22:D34,1,0))</f>
        <v>#N/A</v>
      </c>
      <c r="F35" s="494" t="n">
        <f aca="false">IF(AND(OR(A35="",A35="!!!!!!"),B35="",C35=""),"",IF(OR(AND(B35="",C35=""),ISERROR(C35+B35)),"!!!",($B35*$B$7+$C35*$C$7)/100))</f>
        <v>0.0078</v>
      </c>
      <c r="G35" s="495" t="str">
        <f aca="false">IF(A35="","",IF(ISERROR(VLOOKUP($A35,'liste reference'!$A$6:$Q$1174,9,0)),IF(ISERROR(VLOOKUP($A35,'liste reference'!$B$6:$Q$1174,8,0)),"    -",VLOOKUP($A35,'liste reference'!$B$6:$Q$1174,8,0)),VLOOKUP($A35,'liste reference'!$A$6:$Q$1174,9,0)))</f>
        <v>PHg</v>
      </c>
      <c r="H35" s="496" t="n">
        <f aca="false">IF(A35="","x",IF(ISERROR(VLOOKUP($A35,'liste reference'!$A$6:$Q$1174,10,0)),IF(ISERROR(VLOOKUP($A35,'liste reference'!$B$6:$Q$1174,9,0)),"x",VLOOKUP($A35,'liste reference'!$B$6:$Q$1174,9,0)),VLOOKUP($A35,'liste reference'!$A$6:$Q$1174,10,0)))</f>
        <v>9</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Lysimachia vulgaris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1887</v>
      </c>
      <c r="R35" s="484" t="n">
        <f aca="false">IF(ISTEXT(H35),"",(B35*$B$7/100)+(C35*$C$7/100))</f>
        <v>0.0078</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LYSVUL</v>
      </c>
      <c r="Z35" s="470" t="n">
        <f aca="false">IF(ISERROR(MATCH(A35,'liste reference'!$A$6:$A$1174,0)),IF(ISERROR(MATCH(A35,'liste reference'!$B$6:$B$1174,0)),"",(MATCH(A35,'liste reference'!$B$6:$B$1174,0))),(MATCH(A35,'liste reference'!$A$6:$A$1174,0)))</f>
        <v>899</v>
      </c>
    </row>
    <row r="36" customFormat="false" ht="12.75" hidden="false" customHeight="false" outlineLevel="0" collapsed="false">
      <c r="A36" s="489" t="s">
        <v>2835</v>
      </c>
      <c r="B36" s="490" t="n">
        <v>0.03</v>
      </c>
      <c r="C36" s="491" t="n">
        <v>0.01</v>
      </c>
      <c r="D36" s="492" t="str">
        <f aca="false">IF(ISERROR(VLOOKUP($A36,'liste reference'!$A$6:$B$1174,2,0)),IF(ISERROR(VLOOKUP($A36,'liste reference'!$B$6:$B$1174,1,0)),"",VLOOKUP($A36,'liste reference'!$B$6:$B$1174,1,0)),VLOOKUP($A36,'liste reference'!$A$6:$B$1174,2,0))</f>
        <v>Rorippa sylvestris</v>
      </c>
      <c r="E36" s="493" t="e">
        <f aca="false">IF(D36="",0,VLOOKUP(D36,D$22:D35,1,0))</f>
        <v>#N/A</v>
      </c>
      <c r="F36" s="494" t="n">
        <f aca="false">IF(AND(OR(A36="",A36="!!!!!!"),B36="",C36=""),"",IF(OR(AND(B36="",C36=""),ISERROR(C36+B36)),"!!!",($B36*$B$7+$C36*$C$7)/100))</f>
        <v>0.0144</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Rorippa sylvestris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1767</v>
      </c>
      <c r="R36" s="484" t="n">
        <f aca="false">IF(ISTEXT(H36),"",(B36*$B$7/100)+(C36*$C$7/100))</f>
        <v>0.0144</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RORSYL</v>
      </c>
      <c r="Z36" s="470" t="n">
        <f aca="false">IF(ISERROR(MATCH(A36,'liste reference'!$A$6:$A$1174,0)),IF(ISERROR(MATCH(A36,'liste reference'!$B$6:$B$1174,0)),"",(MATCH(A36,'liste reference'!$B$6:$B$1174,0))),(MATCH(A36,'liste reference'!$A$6:$A$1174,0)))</f>
        <v>948</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27.41</v>
      </c>
      <c r="G83" s="424"/>
      <c r="H83" s="424"/>
      <c r="I83" s="424"/>
      <c r="J83" s="424"/>
      <c r="K83" s="424"/>
      <c r="L83" s="424"/>
      <c r="M83" s="485"/>
      <c r="N83" s="485"/>
      <c r="O83" s="485"/>
      <c r="P83" s="485"/>
      <c r="Q83" s="485"/>
      <c r="R83" s="485"/>
      <c r="S83" s="485"/>
      <c r="T83" s="485"/>
      <c r="U83" s="485"/>
      <c r="V83" s="485" t="n">
        <f aca="false">SUM(V23:V82)</f>
        <v>22</v>
      </c>
      <c r="W83" s="485"/>
      <c r="X83" s="523"/>
      <c r="Y83" s="523"/>
      <c r="Z83" s="524"/>
    </row>
    <row r="84" customFormat="false" ht="12.75" hidden="true" customHeight="false" outlineLevel="0" collapsed="false">
      <c r="A84" s="518" t="str">
        <f aca="false">A3</f>
        <v>GARDON DE SAINT JEAN</v>
      </c>
      <c r="B84" s="453" t="str">
        <f aca="false">C3</f>
        <v>GARDON DE ST JEAN A THOIRAS</v>
      </c>
      <c r="C84" s="525" t="str">
        <f aca="false">A4</f>
        <v>(Date)</v>
      </c>
      <c r="D84" s="526" t="n">
        <f aca="false">IF(OR(ISERROR(SUM($U$23:$U$82)/SUM($V$23:$V$82)),F7&lt;&gt;100),-1,SUM($U$23:$U$82)/SUM($V$23:$V$82))</f>
        <v>10.2272727272727</v>
      </c>
      <c r="E84" s="527" t="n">
        <f aca="false">O13</f>
        <v>14</v>
      </c>
      <c r="F84" s="453" t="n">
        <f aca="false">O14</f>
        <v>9</v>
      </c>
      <c r="G84" s="453" t="n">
        <f aca="false">O15</f>
        <v>5</v>
      </c>
      <c r="H84" s="453" t="n">
        <f aca="false">O16</f>
        <v>4</v>
      </c>
      <c r="I84" s="453" t="n">
        <f aca="false">O17</f>
        <v>0</v>
      </c>
      <c r="J84" s="528" t="n">
        <f aca="false">O8</f>
        <v>10.3333333333333</v>
      </c>
      <c r="K84" s="529" t="n">
        <f aca="false">O9</f>
        <v>2.74873708374511</v>
      </c>
      <c r="L84" s="530" t="n">
        <f aca="false">O10</f>
        <v>6</v>
      </c>
      <c r="M84" s="530" t="n">
        <f aca="false">O11</f>
        <v>15</v>
      </c>
      <c r="N84" s="529" t="n">
        <f aca="false">P8</f>
        <v>1.44444444444444</v>
      </c>
      <c r="O84" s="529" t="n">
        <f aca="false">P9</f>
        <v>0.496903994999953</v>
      </c>
      <c r="P84" s="530" t="n">
        <f aca="false">P10</f>
        <v>1</v>
      </c>
      <c r="Q84" s="530" t="n">
        <f aca="false">P11</f>
        <v>2</v>
      </c>
      <c r="R84" s="530" t="n">
        <f aca="false">F21</f>
        <v>27.41</v>
      </c>
      <c r="S84" s="530" t="n">
        <f aca="false">L11</f>
        <v>0</v>
      </c>
      <c r="T84" s="530" t="n">
        <f aca="false">L12</f>
        <v>8</v>
      </c>
      <c r="U84" s="530" t="n">
        <f aca="false">L13</f>
        <v>0</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24</v>
      </c>
      <c r="U87" s="281"/>
      <c r="V87" s="281"/>
    </row>
    <row r="88" customFormat="false" ht="12.75" hidden="true" customHeight="false" outlineLevel="0" collapsed="false">
      <c r="C88" s="534"/>
      <c r="D88" s="534"/>
      <c r="E88" s="534"/>
      <c r="R88" s="281" t="s">
        <v>3452</v>
      </c>
      <c r="S88" s="281"/>
      <c r="T88" s="536" t="n">
        <f aca="false">VLOOKUP($T$91,($A$23:$U$82),21,0)</f>
        <v>24</v>
      </c>
      <c r="U88" s="281"/>
      <c r="V88" s="281" t="n">
        <f aca="false">COUNTIF(V23:V82,T89)</f>
        <v>3</v>
      </c>
    </row>
    <row r="89" customFormat="false" ht="12.75" hidden="true" customHeight="false" outlineLevel="0" collapsed="false">
      <c r="C89" s="534"/>
      <c r="D89" s="534"/>
      <c r="E89" s="534"/>
      <c r="R89" s="281" t="s">
        <v>3453</v>
      </c>
      <c r="S89" s="281"/>
      <c r="T89" s="536" t="n">
        <f aca="false">MAX($V$23:$V$82)</f>
        <v>4</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11.1666666666667</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"a67"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2017-11-28T15:03:05Z</cp:lastPrinted>
  <dcterms:modified xsi:type="dcterms:W3CDTF">2017-11-28T16:04:46Z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