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<sst xmlns="http://schemas.openxmlformats.org/spreadsheetml/2006/main" count="102" uniqueCount="99">
  <si>
    <t xml:space="preserve">Relevés floristiques aquatiques - IBMR</t>
  </si>
  <si>
    <t xml:space="preserve">Formulaire modèle GIS Macrophytes v_2.6 - février 2012</t>
  </si>
  <si>
    <t xml:space="preserve">SAGE</t>
  </si>
  <si>
    <t xml:space="preserve">BOURGOIN RENAHY</t>
  </si>
  <si>
    <t xml:space="preserve">conforme AFNOR T90-395 oct. 2003</t>
  </si>
  <si>
    <t xml:space="preserve">Isère</t>
  </si>
  <si>
    <t xml:space="preserve">Isère à Tullins</t>
  </si>
  <si>
    <t xml:space="preserve">06147130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</si>
  <si>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</si>
  <si>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</si>
  <si>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</si>
  <si>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</si>
  <si>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</si>
  <si>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</si>
  <si>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</si>
  <si>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</si>
  <si>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</si>
  <si>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ch. lotique</t>
  </si>
  <si>
    <t xml:space="preserve">niv. trophique:</t>
  </si>
  <si>
    <t xml:space="preserve">moyen</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</si>
  <si>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</si>
  <si>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</si>
  <si>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</si>
  <si>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</si>
  <si>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</si>
  <si>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</si>
  <si>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</si>
  <si>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</si>
  <si>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</si>
  <si>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</si>
  <si>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</si>
  <si>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</si>
  <si>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</si>
  <si>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</si>
  <si>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</si>
  <si>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</si>
  <si>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</si>
  <si>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</si>
  <si>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</si>
  <si>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</si>
  <si>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</si>
  <si>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</si>
  <si>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</si>
  <si>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</si>
  <si>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</si>
  <si>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</si>
  <si>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</si>
  <si>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</si>
  <si>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</si>
  <si>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</si>
  <si>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</si>
  <si>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</si>
  <si>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</si>
  <si>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</si>
  <si>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</si>
  <si>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</si>
  <si>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ATTENTION : écart entre rec. par grp (0,03 %) et</t>
  </si>
  <si>
    <t xml:space="preserve">rec. pondéré</t>
  </si>
  <si>
    <t xml:space="preserve">voir aussi colonne BB</t>
  </si>
  <si>
    <t xml:space="preserve"> rec. par taxa (0,00182 %) supérieur à 20 % !</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</si>
  <si>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</si>
  <si>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</si>
  <si>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</si>
  <si>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</si>
  <si>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</si>
  <si>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</si>
  <si>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</si>
  <si>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</si>
  <si>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</si>
  <si>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</si>
  <si>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</si>
  <si>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</si>
  <si>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</si>
  <si>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</si>
  <si>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</si>
  <si>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</si>
  <si>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</si>
  <si>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</si>
  <si>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</si>
  <si>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</si>
  <si>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OEDSPX</t>
  </si>
  <si>
    <t xml:space="preserve">PHOSPX</t>
  </si>
  <si>
    <t xml:space="preserve">SPISPX</t>
  </si>
  <si>
    <t xml:space="preserve">VAUSPX</t>
  </si>
  <si>
    <t xml:space="preserve">ZYGSPX</t>
  </si>
  <si>
    <t xml:space="preserve">ANEPIN</t>
  </si>
  <si>
    <t xml:space="preserve">AMBFLU</t>
  </si>
  <si>
    <t xml:space="preserve">CINFON</t>
  </si>
  <si>
    <t xml:space="preserve">POLMAC</t>
  </si>
  <si>
    <t xml:space="preserve">SOADUL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</si>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</sst>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ISTUL_26-09-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41178</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10.6875</v>
      </c>
      <c r="M5" s="53"/>
      <c r="N5" s="54"/>
      <c r="O5" s="55" t="n">
        <v>10.2142857142857</v>
      </c>
      <c r="P5" s="56"/>
      <c r="Q5" s="10"/>
      <c r="R5" s="10"/>
      <c r="S5" s="10"/>
      <c r="T5" s="10"/>
      <c r="U5" s="10"/>
      <c r="V5" s="10"/>
      <c r="W5" s="22"/>
      <c r="X5" s="42"/>
    </row>
    <row r="6" customFormat="false" ht="13.5" hidden="false" customHeight="false" outlineLevel="0" collapsed="false">
      <c r="A6" s="43" t="s">
        <v>16</v>
      </c>
      <c r="B6" s="57" t="s">
        <v>17</v>
      </c>
      <c r="C6" s="57"/>
      <c r="D6" s="46"/>
      <c r="E6" s="46"/>
      <c r="F6" s="47"/>
      <c r="G6" s="48"/>
      <c r="H6" s="46"/>
      <c r="I6" s="58" t="s">
        <v>18</v>
      </c>
      <c r="J6" s="59"/>
      <c r="K6" s="60"/>
      <c r="L6" s="61" t="s">
        <v>19</v>
      </c>
      <c r="M6" s="62"/>
      <c r="N6" s="63" t="s">
        <v>20</v>
      </c>
      <c r="O6" s="63"/>
      <c r="P6" s="64"/>
      <c r="Q6" s="10"/>
      <c r="R6" s="10"/>
      <c r="S6" s="10"/>
      <c r="T6" s="10"/>
      <c r="U6" s="10"/>
      <c r="V6" s="10"/>
      <c r="W6" s="22"/>
      <c r="X6" s="23"/>
    </row>
    <row r="7" customFormat="false" ht="12.75" hidden="false" customHeight="false" outlineLevel="0" collapsed="false">
      <c r="A7" s="65" t="s">
        <v>21</v>
      </c>
      <c r="B7" s="66" t="n">
        <v>100</v>
      </c>
      <c r="C7" s="67"/>
      <c r="D7" s="68"/>
      <c r="E7" s="68"/>
      <c r="F7" s="69" t="n">
        <f aca="false">IF((OR((B7+C7=100),(B7+C7=0))),B7+C7,"ATTENTION")</f>
        <v>100</v>
      </c>
      <c r="G7" s="70"/>
      <c r="H7" s="68"/>
      <c r="I7" s="71"/>
      <c r="J7" s="72"/>
      <c r="K7" s="73"/>
      <c r="L7" s="74"/>
      <c r="M7" s="75"/>
      <c r="N7" s="76" t="s">
        <v>22</v>
      </c>
      <c r="O7" s="76" t="s">
        <v>23</v>
      </c>
      <c r="P7" s="77"/>
      <c r="Q7" s="10"/>
      <c r="R7" s="10"/>
      <c r="S7" s="10"/>
      <c r="T7" s="10"/>
      <c r="U7" s="10"/>
      <c r="V7" s="10"/>
      <c r="W7" s="22"/>
      <c r="X7" s="23"/>
    </row>
    <row r="8" customFormat="false" ht="12.75" hidden="false" customHeight="false" outlineLevel="0" collapsed="false">
      <c r="A8" s="78" t="s">
        <v>24</v>
      </c>
      <c r="B8" s="78"/>
      <c r="C8" s="78"/>
      <c r="D8" s="68"/>
      <c r="E8" s="68"/>
      <c r="F8" s="79" t="s">
        <v>25</v>
      </c>
      <c r="G8" s="80"/>
      <c r="H8" s="81"/>
      <c r="I8" s="71"/>
      <c r="J8" s="72"/>
      <c r="K8" s="73"/>
      <c r="L8" s="74"/>
      <c r="M8" s="82" t="s">
        <v>26</v>
      </c>
      <c r="N8" s="83" t="n">
        <f aca="false">AVERAGE(I23:I82)</f>
        <v>9.88888888888889</v>
      </c>
      <c r="O8" s="83" t="n">
        <f aca="false">AVERAGE(J23:J82)</f>
        <v>1.77777777777778</v>
      </c>
      <c r="P8" s="84"/>
      <c r="Q8" s="10"/>
      <c r="R8" s="10"/>
      <c r="S8" s="10"/>
      <c r="T8" s="10"/>
      <c r="U8" s="10"/>
      <c r="V8" s="10"/>
      <c r="W8" s="22"/>
      <c r="X8" s="23"/>
    </row>
    <row r="9" customFormat="false" ht="13.5" hidden="false" customHeight="false" outlineLevel="0" collapsed="false">
      <c r="A9" s="43" t="s">
        <v>27</v>
      </c>
      <c r="B9" s="85" t="n">
        <v>0.01</v>
      </c>
      <c r="C9" s="86"/>
      <c r="D9" s="87"/>
      <c r="E9" s="87"/>
      <c r="F9" s="88" t="n">
        <f aca="false">($B9*$B$7+$C9*$C$7)/100</f>
        <v>0.01</v>
      </c>
      <c r="G9" s="89"/>
      <c r="H9" s="90"/>
      <c r="I9" s="91"/>
      <c r="J9" s="92"/>
      <c r="K9" s="73"/>
      <c r="L9" s="93"/>
      <c r="M9" s="82" t="s">
        <v>28</v>
      </c>
      <c r="N9" s="83" t="n">
        <f aca="false">STDEV(I23:I82)</f>
        <v>3.65528536657689</v>
      </c>
      <c r="O9" s="83" t="n">
        <f aca="false">STDEV(J23:J82)</f>
        <v>0.666666666666667</v>
      </c>
      <c r="P9" s="84"/>
      <c r="Q9" s="10"/>
      <c r="R9" s="10"/>
      <c r="S9" s="10"/>
      <c r="T9" s="10"/>
      <c r="U9" s="10"/>
      <c r="V9" s="10"/>
      <c r="W9" s="94"/>
      <c r="X9" s="95"/>
    </row>
    <row r="10" customFormat="false" ht="13.5" hidden="false" customHeight="false" outlineLevel="0" collapsed="false">
      <c r="A10" s="96" t="s">
        <v>29</v>
      </c>
      <c r="B10" s="97"/>
      <c r="C10" s="98"/>
      <c r="D10" s="99"/>
      <c r="E10" s="99"/>
      <c r="F10" s="88" t="n">
        <f aca="false">($B10*$B$7+$C10*$C$7)/100</f>
        <v>0</v>
      </c>
      <c r="G10" s="89"/>
      <c r="H10" s="100"/>
      <c r="I10" s="101"/>
      <c r="J10" s="102" t="s">
        <v>30</v>
      </c>
      <c r="K10" s="102"/>
      <c r="L10" s="103"/>
      <c r="M10" s="104" t="s">
        <v>31</v>
      </c>
      <c r="N10" s="105" t="n">
        <f aca="false">MIN(I23:I82)</f>
        <v>4</v>
      </c>
      <c r="O10" s="105" t="n">
        <f aca="false">MIN(J23:J82)</f>
        <v>1</v>
      </c>
      <c r="P10" s="106"/>
      <c r="Q10" s="10"/>
      <c r="R10" s="10"/>
      <c r="S10" s="10"/>
      <c r="T10" s="10"/>
      <c r="U10" s="10"/>
      <c r="V10" s="10"/>
    </row>
    <row r="11" customFormat="false" ht="12.75" hidden="false" customHeight="false" outlineLevel="0" collapsed="false">
      <c r="A11" s="107" t="s">
        <v>32</v>
      </c>
      <c r="B11" s="108"/>
      <c r="C11" s="109"/>
      <c r="D11" s="110"/>
      <c r="E11" s="110"/>
      <c r="F11" s="111" t="n">
        <f aca="false">($B11*$B$7+$C11*$C$7)/100</f>
        <v>0</v>
      </c>
      <c r="G11" s="112"/>
      <c r="H11" s="68"/>
      <c r="I11" s="113" t="s">
        <v>33</v>
      </c>
      <c r="J11" s="113"/>
      <c r="K11" s="114" t="n">
        <f aca="false">COUNTIF($G$23:$G$82,"=HET")</f>
        <v>0</v>
      </c>
      <c r="L11" s="115"/>
      <c r="M11" s="104" t="s">
        <v>34</v>
      </c>
      <c r="N11" s="105" t="n">
        <f aca="false">MAX(I23:I82)</f>
        <v>14</v>
      </c>
      <c r="O11" s="105" t="n">
        <f aca="false">MAX(J23:J82)</f>
        <v>3</v>
      </c>
      <c r="P11" s="106"/>
      <c r="Q11" s="10"/>
      <c r="R11" s="10"/>
      <c r="S11" s="10"/>
      <c r="T11" s="10"/>
      <c r="U11" s="10"/>
      <c r="V11" s="10"/>
    </row>
    <row r="12" customFormat="false" ht="12.75" hidden="false" customHeight="false" outlineLevel="0" collapsed="false">
      <c r="A12" s="116" t="s">
        <v>35</v>
      </c>
      <c r="B12" s="117" t="n">
        <v>0.01</v>
      </c>
      <c r="C12" s="118"/>
      <c r="D12" s="110"/>
      <c r="E12" s="110"/>
      <c r="F12" s="111" t="n">
        <f aca="false">($B12*$B$7+$C12*$C$7)/100</f>
        <v>0.01</v>
      </c>
      <c r="G12" s="119"/>
      <c r="H12" s="68"/>
      <c r="I12" s="120" t="s">
        <v>36</v>
      </c>
      <c r="J12" s="120"/>
      <c r="K12" s="114" t="n">
        <f aca="false">COUNTIF($G$23:$G$82,"=ALG")</f>
        <v>6</v>
      </c>
      <c r="L12" s="121"/>
      <c r="M12" s="122"/>
      <c r="N12" s="123" t="s">
        <v>30</v>
      </c>
      <c r="O12" s="124"/>
      <c r="P12" s="125"/>
      <c r="Q12" s="10"/>
      <c r="R12" s="10"/>
      <c r="S12" s="10"/>
      <c r="T12" s="10"/>
      <c r="U12" s="10"/>
      <c r="V12" s="10"/>
    </row>
    <row r="13" customFormat="false" ht="12.75" hidden="false" customHeight="false" outlineLevel="0" collapsed="false">
      <c r="A13" s="116" t="s">
        <v>37</v>
      </c>
      <c r="B13" s="117" t="n">
        <v>0.01</v>
      </c>
      <c r="C13" s="118"/>
      <c r="D13" s="110"/>
      <c r="E13" s="110"/>
      <c r="F13" s="111" t="n">
        <f aca="false">($B13*$B$7+$C13*$C$7)/100</f>
        <v>0.01</v>
      </c>
      <c r="G13" s="119"/>
      <c r="H13" s="68"/>
      <c r="I13" s="120" t="s">
        <v>38</v>
      </c>
      <c r="J13" s="120"/>
      <c r="K13" s="114" t="n">
        <f aca="false">COUNTIF($G$23:$G$82,"=BRm")+COUNTIF($G$23:$G$82,"=BRh")</f>
        <v>3</v>
      </c>
      <c r="L13" s="115"/>
      <c r="M13" s="126" t="s">
        <v>39</v>
      </c>
      <c r="N13" s="127" t="n">
        <f aca="false">COUNTIF(F23:F82,"&gt;0")</f>
        <v>11</v>
      </c>
      <c r="O13" s="128"/>
      <c r="P13" s="129"/>
      <c r="Q13" s="10"/>
      <c r="R13" s="10"/>
      <c r="S13" s="10"/>
      <c r="T13" s="10"/>
      <c r="U13" s="10"/>
      <c r="V13" s="10"/>
    </row>
    <row r="14" customFormat="false" ht="12.75" hidden="false" customHeight="false" outlineLevel="0" collapsed="false">
      <c r="A14" s="116" t="s">
        <v>40</v>
      </c>
      <c r="B14" s="117"/>
      <c r="C14" s="118"/>
      <c r="D14" s="110"/>
      <c r="E14" s="110"/>
      <c r="F14" s="111" t="n">
        <f aca="false">($B14*$B$7+$C14*$C$7)/100</f>
        <v>0</v>
      </c>
      <c r="G14" s="119"/>
      <c r="H14" s="68"/>
      <c r="I14" s="120" t="s">
        <v>41</v>
      </c>
      <c r="J14" s="120"/>
      <c r="K14" s="114" t="n">
        <f aca="false">COUNTIF($G$23:$G$82,"=PTE")+COUNTIF($G$23:$G$82,"=LIC")</f>
        <v>0</v>
      </c>
      <c r="L14" s="115"/>
      <c r="M14" s="130" t="s">
        <v>42</v>
      </c>
      <c r="N14" s="131" t="n">
        <f aca="false">COUNTIF($I$23:$I$82,"&gt;-1")</f>
        <v>9</v>
      </c>
      <c r="O14" s="132"/>
      <c r="P14" s="129"/>
      <c r="Q14" s="10"/>
      <c r="R14" s="10"/>
      <c r="S14" s="10"/>
      <c r="T14" s="10"/>
      <c r="U14" s="10"/>
      <c r="V14" s="10"/>
    </row>
    <row r="15" customFormat="false" ht="12.75" hidden="false" customHeight="false" outlineLevel="0" collapsed="false">
      <c r="A15" s="133" t="s">
        <v>43</v>
      </c>
      <c r="B15" s="134" t="n">
        <v>0.01</v>
      </c>
      <c r="C15" s="135"/>
      <c r="D15" s="110"/>
      <c r="E15" s="110"/>
      <c r="F15" s="111" t="n">
        <f aca="false">($B15*$B$7+$C15*$C$7)/100</f>
        <v>0.01</v>
      </c>
      <c r="G15" s="119"/>
      <c r="H15" s="68"/>
      <c r="I15" s="120" t="s">
        <v>44</v>
      </c>
      <c r="J15" s="120"/>
      <c r="K15" s="114" t="n">
        <f aca="false">(COUNTIF($G$23:$G$82,"=PHy"))+(COUNTIF($G$23:$G$82,"=PHe"))+(COUNTIF($G$23:$G$82,"=PHg"))+(COUNTIF($G$23:$G$82,"=PHx"))</f>
        <v>2</v>
      </c>
      <c r="L15" s="115"/>
      <c r="M15" s="136" t="s">
        <v>45</v>
      </c>
      <c r="N15" s="137" t="n">
        <f aca="false">COUNTIF(J23:J82,"=1")</f>
        <v>3</v>
      </c>
      <c r="O15" s="138"/>
      <c r="P15" s="129"/>
      <c r="Q15" s="10"/>
      <c r="R15" s="10"/>
      <c r="S15" s="10"/>
      <c r="T15" s="10"/>
      <c r="U15" s="10"/>
      <c r="V15" s="10"/>
    </row>
    <row r="16" customFormat="false" ht="12.75" hidden="false" customHeight="false" outlineLevel="0" collapsed="false">
      <c r="A16" s="107" t="s">
        <v>46</v>
      </c>
      <c r="B16" s="108"/>
      <c r="C16" s="109"/>
      <c r="D16" s="139"/>
      <c r="E16" s="139"/>
      <c r="F16" s="140"/>
      <c r="G16" s="140" t="n">
        <f aca="false">($B16*$B$7+$C16*$C$7)/100</f>
        <v>0</v>
      </c>
      <c r="H16" s="68"/>
      <c r="I16" s="120"/>
      <c r="J16" s="141"/>
      <c r="K16" s="141"/>
      <c r="L16" s="115"/>
      <c r="M16" s="136" t="s">
        <v>47</v>
      </c>
      <c r="N16" s="137" t="n">
        <f aca="false">COUNTIF(J23:J82,"=2")</f>
        <v>5</v>
      </c>
      <c r="O16" s="138"/>
      <c r="P16" s="129"/>
      <c r="Q16" s="10"/>
      <c r="R16" s="10"/>
      <c r="S16" s="10"/>
      <c r="T16" s="10"/>
      <c r="U16" s="10"/>
      <c r="V16" s="10"/>
    </row>
    <row r="17" customFormat="false" ht="12.75" hidden="false" customHeight="false" outlineLevel="0" collapsed="false">
      <c r="A17" s="116" t="s">
        <v>48</v>
      </c>
      <c r="B17" s="117" t="n">
        <v>0.01</v>
      </c>
      <c r="C17" s="118"/>
      <c r="D17" s="110"/>
      <c r="E17" s="110"/>
      <c r="F17" s="142"/>
      <c r="G17" s="111" t="n">
        <f aca="false">($B17*$B$7+$C17*$C$7)/100</f>
        <v>0.01</v>
      </c>
      <c r="H17" s="68"/>
      <c r="I17" s="120"/>
      <c r="J17" s="120"/>
      <c r="K17" s="141"/>
      <c r="L17" s="115"/>
      <c r="M17" s="136" t="s">
        <v>49</v>
      </c>
      <c r="N17" s="137" t="n">
        <f aca="false">COUNTIF(J23:J82,"=3")</f>
        <v>1</v>
      </c>
      <c r="O17" s="138"/>
      <c r="P17" s="129"/>
      <c r="Q17" s="10"/>
      <c r="R17" s="10"/>
      <c r="S17" s="10"/>
      <c r="T17" s="10"/>
      <c r="U17" s="10"/>
      <c r="V17" s="10"/>
    </row>
    <row r="18" customFormat="false" ht="12.75" hidden="false" customHeight="false" outlineLevel="0" collapsed="false">
      <c r="A18" s="143" t="s">
        <v>50</v>
      </c>
      <c r="B18" s="144" t="n">
        <v>0.01</v>
      </c>
      <c r="C18" s="145"/>
      <c r="D18" s="110"/>
      <c r="E18" s="146" t="s">
        <v>51</v>
      </c>
      <c r="F18" s="142"/>
      <c r="G18" s="111" t="n">
        <f aca="false">($B18*$B$7+$C18*$C$7)/100</f>
        <v>0.01</v>
      </c>
      <c r="H18" s="68"/>
      <c r="I18" s="120"/>
      <c r="J18" s="120"/>
      <c r="K18" s="141"/>
      <c r="L18" s="115"/>
      <c r="M18" s="147"/>
      <c r="N18" s="147"/>
      <c r="O18" s="138"/>
      <c r="P18" s="148"/>
      <c r="Q18" s="10"/>
      <c r="R18" s="10"/>
      <c r="S18" s="10"/>
      <c r="T18" s="10"/>
      <c r="U18" s="10"/>
      <c r="V18" s="10" t="s">
        <v>52</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0.03</v>
      </c>
      <c r="G19" s="155" t="n">
        <f aca="false">SUM(G16:G18)</f>
        <v>0.02</v>
      </c>
      <c r="H19" s="156"/>
      <c r="I19" s="157"/>
      <c r="J19" s="158"/>
      <c r="K19" s="159"/>
      <c r="L19" s="160"/>
      <c r="M19" s="161"/>
      <c r="N19" s="60"/>
      <c r="O19" s="162"/>
      <c r="P19" s="148"/>
      <c r="Q19" s="10"/>
      <c r="R19" s="10"/>
      <c r="S19" s="10"/>
      <c r="T19" s="10"/>
      <c r="U19" s="10"/>
      <c r="V19" s="10" t="s">
        <v>53</v>
      </c>
      <c r="W19" s="149"/>
    </row>
    <row r="20" customFormat="false" ht="12.75" hidden="false" customHeight="false" outlineLevel="0" collapsed="false">
      <c r="A20" s="163" t="s">
        <v>54</v>
      </c>
      <c r="B20" s="164" t="n">
        <f aca="false">SUM(B23:B82)</f>
        <v>0.00182</v>
      </c>
      <c r="C20" s="165" t="n">
        <f aca="false">SUM(C23:C82)</f>
        <v>0</v>
      </c>
      <c r="D20" s="166"/>
      <c r="E20" s="167" t="s">
        <v>51</v>
      </c>
      <c r="F20" s="168" t="n">
        <f aca="false">($B20*$B$7+$C20*$C$7)/100</f>
        <v>0.00182</v>
      </c>
      <c r="G20" s="169"/>
      <c r="H20" s="170"/>
      <c r="I20" s="171"/>
      <c r="J20" s="171"/>
      <c r="K20" s="172"/>
      <c r="L20" s="47"/>
      <c r="M20" s="173"/>
      <c r="N20" s="173"/>
      <c r="O20" s="174"/>
      <c r="P20" s="175"/>
      <c r="Q20" s="176" t="s">
        <v>55</v>
      </c>
      <c r="R20" s="10"/>
      <c r="S20" s="10"/>
      <c r="T20" s="10"/>
      <c r="U20" s="10"/>
      <c r="V20" s="10" t="s">
        <v>56</v>
      </c>
      <c r="W20" s="149"/>
    </row>
    <row r="21" customFormat="false" ht="12.75" hidden="false" customHeight="false" outlineLevel="0" collapsed="false">
      <c r="A21" s="177" t="s">
        <v>57</v>
      </c>
      <c r="B21" s="178" t="n">
        <f aca="false">B20*B7/100</f>
        <v>0.00182</v>
      </c>
      <c r="C21" s="178" t="n">
        <f aca="false">C20*C7/100</f>
        <v>0</v>
      </c>
      <c r="D21" s="110" t="str">
        <f aca="false">IF(F21=0,"",IF((ABS(F21-F19))&gt;(0.2*F21),CONCATENATE(" rec. par taxa (",F21," %) supérieur à 20 % !"),""))</f>
        <v> rec. par taxa (0,00182 %) supérieur à 20 % !</v>
      </c>
      <c r="E21" s="179" t="str">
        <f aca="false">IF(F21=0,"",IF((ABS(F21-F19))&gt;(0.2*F21),CONCATENATE("ATTENTION : écart entre rec. par grp (",F19," %) ","et",""),""))</f>
        <v>ATTENTION : écart entre rec. par grp (0,03 %) et</v>
      </c>
      <c r="F21" s="180" t="n">
        <f aca="false">B21+C21</f>
        <v>0.00182</v>
      </c>
      <c r="G21" s="181"/>
      <c r="H21" s="110"/>
      <c r="I21" s="182"/>
      <c r="J21" s="182"/>
      <c r="K21" s="183"/>
      <c r="L21" s="183"/>
      <c r="M21" s="184"/>
      <c r="N21" s="184"/>
      <c r="O21" s="185"/>
      <c r="P21" s="186"/>
      <c r="Q21" s="187" t="s">
        <v>58</v>
      </c>
      <c r="R21" s="10"/>
      <c r="S21" s="10"/>
      <c r="T21" s="10"/>
      <c r="U21" s="10"/>
      <c r="V21" s="10" t="s">
        <v>59</v>
      </c>
      <c r="W21" s="149"/>
    </row>
    <row r="22" customFormat="false" ht="12.75" hidden="false" customHeight="false" outlineLevel="0" collapsed="false">
      <c r="A22" s="188" t="s">
        <v>60</v>
      </c>
      <c r="B22" s="189" t="s">
        <v>61</v>
      </c>
      <c r="C22" s="190" t="s">
        <v>61</v>
      </c>
      <c r="D22" s="139"/>
      <c r="E22" s="139"/>
      <c r="F22" s="191" t="s">
        <v>62</v>
      </c>
      <c r="G22" s="192" t="s">
        <v>63</v>
      </c>
      <c r="H22" s="139"/>
      <c r="I22" s="193" t="s">
        <v>64</v>
      </c>
      <c r="J22" s="193" t="s">
        <v>65</v>
      </c>
      <c r="K22" s="194" t="s">
        <v>66</v>
      </c>
      <c r="L22" s="194"/>
      <c r="M22" s="194"/>
      <c r="N22" s="194"/>
      <c r="O22" s="194"/>
      <c r="P22" s="195" t="s">
        <v>67</v>
      </c>
      <c r="Q22" s="196" t="s">
        <v>68</v>
      </c>
      <c r="R22" s="197" t="s">
        <v>69</v>
      </c>
      <c r="S22" s="198" t="s">
        <v>70</v>
      </c>
      <c r="T22" s="199" t="s">
        <v>71</v>
      </c>
      <c r="U22" s="200" t="s">
        <v>72</v>
      </c>
      <c r="V22" s="198" t="s">
        <v>73</v>
      </c>
      <c r="Y22" s="10" t="s">
        <v>74</v>
      </c>
      <c r="Z22" s="10" t="s">
        <v>75</v>
      </c>
      <c r="AA22" s="201" t="s">
        <v>76</v>
      </c>
      <c r="AB22" s="201" t="s">
        <v>77</v>
      </c>
      <c r="AC22" s="202" t="s">
        <v>78</v>
      </c>
    </row>
    <row r="23" customFormat="false" ht="12.75" hidden="false" customHeight="false" outlineLevel="0" collapsed="false">
      <c r="A23" s="203" t="s">
        <v>79</v>
      </c>
      <c r="B23" s="204" t="n">
        <v>9.1E-005</v>
      </c>
      <c r="C23" s="205"/>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9.1E-005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9.1E-005</v>
      </c>
      <c r="R23" s="216" t="n">
        <f aca="false">IF(OR(ISTEXT(H23),Q23=0),"",IF(Q23&lt;0.1,1,IF(Q23&lt;1,2,IF(Q23&lt;10,3,IF(Q23&lt;50,4,IF(Q23&gt;=50,5,""))))))</f>
        <v>1</v>
      </c>
      <c r="S23" s="216" t="n">
        <f aca="false">IF(ISERROR(R23*I23),0,R23*I23)</f>
        <v>6</v>
      </c>
      <c r="T23" s="216" t="n">
        <f aca="false">IF(ISERROR(R23*I23*J23),0,R23*I23*J23)</f>
        <v>6</v>
      </c>
      <c r="U23" s="216" t="n">
        <f aca="false">IF(ISERROR(R23*J23),0,R23*J23)</f>
        <v>1</v>
      </c>
      <c r="V23" s="217" t="n">
        <v>1</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80</v>
      </c>
      <c r="B24" s="223" t="n">
        <v>9.1E-005</v>
      </c>
      <c r="C24" s="224"/>
      <c r="D24" s="225" t="str">
        <f aca="false">IF(ISERROR(VLOOKUP($A24,'[1]liste reference'!$A$7:$D$892,2,0)),IF(ISERROR(VLOOKUP($A24,'[1]liste reference'!$B$7:$D$892,1,0)),"",VLOOKUP($A24,'[1]liste reference'!$B$7:$D$892,1,0)),VLOOKUP($A24,'[1]liste reference'!$A$7:$D$892,2,0))</f>
        <v>Oedogonium sp.</v>
      </c>
      <c r="E24" s="225" t="e">
        <f aca="false">IF(D24="",0,VLOOKUP(D24,D$22:D23,1,0))</f>
        <v>#N/A</v>
      </c>
      <c r="F24" s="226" t="n">
        <f aca="false">($B24*$B$7+$C24*$C$7)/100</f>
        <v>9.1E-005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6</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Oedogonium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1134</v>
      </c>
      <c r="Q24" s="215" t="n">
        <f aca="false">IF(ISTEXT(H24),"",(B24*$B$7/100)+(C24*$C$7/100))</f>
        <v>9.1E-005</v>
      </c>
      <c r="R24" s="216" t="n">
        <f aca="false">IF(OR(ISTEXT(H24),Q24=0),"",IF(Q24&lt;0.1,1,IF(Q24&lt;1,2,IF(Q24&lt;10,3,IF(Q24&lt;50,4,IF(Q24&gt;=50,5,""))))))</f>
        <v>1</v>
      </c>
      <c r="S24" s="216" t="n">
        <f aca="false">IF(ISERROR(R24*I24),0,R24*I24)</f>
        <v>6</v>
      </c>
      <c r="T24" s="216" t="n">
        <f aca="false">IF(ISERROR(R24*I24*J24),0,R24*I24*J24)</f>
        <v>12</v>
      </c>
      <c r="U24" s="230" t="n">
        <f aca="false">IF(ISERROR(R24*J24),0,R24*J24)</f>
        <v>2</v>
      </c>
      <c r="V24" s="217" t="n">
        <v>2</v>
      </c>
      <c r="W24" s="231"/>
      <c r="Y24" s="219" t="str">
        <f aca="false">IF(A24="new.cod","NEWCOD",IF(AND((Z24=""),ISTEXT(A24)),A24,IF(Z24="","",INDEX('[1]liste reference'!$A$7:$A$892,Z24))))</f>
        <v>OEDSPX</v>
      </c>
      <c r="Z24" s="10" t="n">
        <f aca="false">IF(ISERROR(MATCH(A24,'[1]liste reference'!$A$7:$A$892,0)),IF(ISERROR(MATCH(A24,'[1]liste reference'!$B$7:$B$892,0)),"",(MATCH(A24,'[1]liste reference'!$B$7:$B$892,0))),(MATCH(A24,'[1]liste reference'!$A$7:$A$892,0)))</f>
        <v>542</v>
      </c>
      <c r="AA24" s="220"/>
      <c r="AB24" s="221"/>
      <c r="AC24" s="221"/>
      <c r="BC24" s="10" t="n">
        <f aca="false">IF(A24="","",1)</f>
        <v>1</v>
      </c>
    </row>
    <row r="25" customFormat="false" ht="12.75" hidden="false" customHeight="false" outlineLevel="0" collapsed="false">
      <c r="A25" s="222" t="s">
        <v>81</v>
      </c>
      <c r="B25" s="223" t="n">
        <v>0.00091</v>
      </c>
      <c r="C25" s="224"/>
      <c r="D25" s="225" t="str">
        <f aca="false">IF(ISERROR(VLOOKUP($A25,'[1]liste reference'!$A$7:$D$892,2,0)),IF(ISERROR(VLOOKUP($A25,'[1]liste reference'!$B$7:$D$892,1,0)),"",VLOOKUP($A25,'[1]liste reference'!$B$7:$D$892,1,0)),VLOOKUP($A25,'[1]liste reference'!$A$7:$D$892,2,0))</f>
        <v>Phormidium sp.</v>
      </c>
      <c r="E25" s="225" t="e">
        <f aca="false">IF(D25="",0,VLOOKUP(D25,D$22:D24,1,0))</f>
        <v>#N/A</v>
      </c>
      <c r="F25" s="226" t="n">
        <f aca="false">($B25*$B$7+$C25*$C$7)/100</f>
        <v>0.00091</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Phormidium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6414</v>
      </c>
      <c r="Q25" s="215" t="n">
        <f aca="false">IF(ISTEXT(H25),"",(B25*$B$7/100)+(C25*$C$7/100))</f>
        <v>0.00091</v>
      </c>
      <c r="R25" s="216" t="n">
        <f aca="false">IF(OR(ISTEXT(H25),Q25=0),"",IF(Q25&lt;0.1,1,IF(Q25&lt;1,2,IF(Q25&lt;10,3,IF(Q25&lt;50,4,IF(Q25&gt;=50,5,""))))))</f>
        <v>1</v>
      </c>
      <c r="S25" s="216" t="n">
        <f aca="false">IF(ISERROR(R25*I25),0,R25*I25)</f>
        <v>13</v>
      </c>
      <c r="T25" s="216" t="n">
        <f aca="false">IF(ISERROR(R25*I25*J25),0,R25*I25*J25)</f>
        <v>26</v>
      </c>
      <c r="U25" s="230" t="n">
        <f aca="false">IF(ISERROR(R25*J25),0,R25*J25)</f>
        <v>2</v>
      </c>
      <c r="V25" s="217" t="n">
        <v>2</v>
      </c>
      <c r="W25" s="218"/>
      <c r="Y25" s="219" t="str">
        <f aca="false">IF(A25="new.cod","NEWCOD",IF(AND((Z25=""),ISTEXT(A25)),A25,IF(Z25="","",INDEX('[1]liste reference'!$A$7:$A$892,Z25))))</f>
        <v>PHOSPX</v>
      </c>
      <c r="Z25" s="10" t="n">
        <f aca="false">IF(ISERROR(MATCH(A25,'[1]liste reference'!$A$7:$A$892,0)),IF(ISERROR(MATCH(A25,'[1]liste reference'!$B$7:$B$892,0)),"",(MATCH(A25,'[1]liste reference'!$B$7:$B$892,0))),(MATCH(A25,'[1]liste reference'!$A$7:$A$892,0)))</f>
        <v>570</v>
      </c>
      <c r="AA25" s="220"/>
      <c r="AB25" s="221"/>
      <c r="AC25" s="221"/>
      <c r="BC25" s="10" t="n">
        <f aca="false">IF(A25="","",1)</f>
        <v>1</v>
      </c>
    </row>
    <row r="26" customFormat="false" ht="12.75" hidden="false" customHeight="false" outlineLevel="0" collapsed="false">
      <c r="A26" s="222" t="s">
        <v>82</v>
      </c>
      <c r="B26" s="223" t="n">
        <v>9.1E-005</v>
      </c>
      <c r="C26" s="224"/>
      <c r="D26" s="225" t="str">
        <f aca="false">IF(ISERROR(VLOOKUP($A26,'[1]liste reference'!$A$7:$D$892,2,0)),IF(ISERROR(VLOOKUP($A26,'[1]liste reference'!$B$7:$D$892,1,0)),"",VLOOKUP($A26,'[1]liste reference'!$B$7:$D$892,1,0)),VLOOKUP($A26,'[1]liste reference'!$A$7:$D$892,2,0))</f>
        <v>Spirogyra sp.</v>
      </c>
      <c r="E26" s="225" t="e">
        <f aca="false">IF(D26="",0,VLOOKUP(D26,D$22:D25,1,0))</f>
        <v>#N/A</v>
      </c>
      <c r="F26" s="226" t="n">
        <f aca="false">($B26*$B$7+$C26*$C$7)/100</f>
        <v>9.1E-005</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10</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Spirogyra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1147</v>
      </c>
      <c r="Q26" s="215" t="n">
        <f aca="false">IF(ISTEXT(H26),"",(B26*$B$7/100)+(C26*$C$7/100))</f>
        <v>9.1E-005</v>
      </c>
      <c r="R26" s="216" t="n">
        <f aca="false">IF(OR(ISTEXT(H26),Q26=0),"",IF(Q26&lt;0.1,1,IF(Q26&lt;1,2,IF(Q26&lt;10,3,IF(Q26&lt;50,4,IF(Q26&gt;=50,5,""))))))</f>
        <v>1</v>
      </c>
      <c r="S26" s="216" t="n">
        <f aca="false">IF(ISERROR(R26*I26),0,R26*I26)</f>
        <v>10</v>
      </c>
      <c r="T26" s="216" t="n">
        <f aca="false">IF(ISERROR(R26*I26*J26),0,R26*I26*J26)</f>
        <v>10</v>
      </c>
      <c r="U26" s="230" t="n">
        <f aca="false">IF(ISERROR(R26*J26),0,R26*J26)</f>
        <v>1</v>
      </c>
      <c r="V26" s="217" t="n">
        <v>1</v>
      </c>
      <c r="W26" s="218"/>
      <c r="Y26" s="219" t="str">
        <f aca="false">IF(A26="new.cod","NEWCOD",IF(AND((Z26=""),ISTEXT(A26)),A26,IF(Z26="","",INDEX('[1]liste reference'!$A$7:$A$892,Z26))))</f>
        <v>SPISPX</v>
      </c>
      <c r="Z26" s="10" t="n">
        <f aca="false">IF(ISERROR(MATCH(A26,'[1]liste reference'!$A$7:$A$892,0)),IF(ISERROR(MATCH(A26,'[1]liste reference'!$B$7:$B$892,0)),"",(MATCH(A26,'[1]liste reference'!$B$7:$B$892,0))),(MATCH(A26,'[1]liste reference'!$A$7:$A$892,0)))</f>
        <v>815</v>
      </c>
      <c r="AA26" s="220"/>
      <c r="AB26" s="221"/>
      <c r="AC26" s="221"/>
      <c r="BC26" s="10" t="n">
        <f aca="false">IF(A26="","",1)</f>
        <v>1</v>
      </c>
    </row>
    <row r="27" customFormat="false" ht="12.75" hidden="false" customHeight="false" outlineLevel="0" collapsed="false">
      <c r="A27" s="222" t="s">
        <v>83</v>
      </c>
      <c r="B27" s="223" t="n">
        <v>9.1E-005</v>
      </c>
      <c r="C27" s="224"/>
      <c r="D27" s="225" t="str">
        <f aca="false">IF(ISERROR(VLOOKUP($A27,'[1]liste reference'!$A$7:$D$892,2,0)),IF(ISERROR(VLOOKUP($A27,'[1]liste reference'!$B$7:$D$892,1,0)),"",VLOOKUP($A27,'[1]liste reference'!$B$7:$D$892,1,0)),VLOOKUP($A27,'[1]liste reference'!$A$7:$D$892,2,0))</f>
        <v>Vaucheria sp.</v>
      </c>
      <c r="E27" s="225" t="e">
        <f aca="false">IF(D27="",0,VLOOKUP(D27,D$22:D26,1,0))</f>
        <v>#N/A</v>
      </c>
      <c r="F27" s="226" t="n">
        <f aca="false">($B27*$B$7+$C27*$C$7)/100</f>
        <v>9.1E-005</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4</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Vaucheria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6193</v>
      </c>
      <c r="Q27" s="215" t="n">
        <f aca="false">IF(ISTEXT(H27),"",(B27*$B$7/100)+(C27*$C$7/100))</f>
        <v>9.1E-005</v>
      </c>
      <c r="R27" s="216" t="n">
        <f aca="false">IF(OR(ISTEXT(H27),Q27=0),"",IF(Q27&lt;0.1,1,IF(Q27&lt;1,2,IF(Q27&lt;10,3,IF(Q27&lt;50,4,IF(Q27&gt;=50,5,""))))))</f>
        <v>1</v>
      </c>
      <c r="S27" s="216" t="n">
        <f aca="false">IF(ISERROR(R27*I27),0,R27*I27)</f>
        <v>4</v>
      </c>
      <c r="T27" s="216" t="n">
        <f aca="false">IF(ISERROR(R27*I27*J27),0,R27*I27*J27)</f>
        <v>4</v>
      </c>
      <c r="U27" s="230" t="n">
        <f aca="false">IF(ISERROR(R27*J27),0,R27*J27)</f>
        <v>1</v>
      </c>
      <c r="V27" s="217" t="n">
        <v>1</v>
      </c>
      <c r="W27" s="218"/>
      <c r="Y27" s="219" t="str">
        <f aca="false">IF(A27="new.cod","NEWCOD",IF(AND((Z27=""),ISTEXT(A27)),A27,IF(Z27="","",INDEX('[1]liste reference'!$A$7:$A$892,Z27))))</f>
        <v>VAUSPX</v>
      </c>
      <c r="Z27" s="10" t="n">
        <f aca="false">IF(ISERROR(MATCH(A27,'[1]liste reference'!$A$7:$A$892,0)),IF(ISERROR(MATCH(A27,'[1]liste reference'!$B$7:$B$892,0)),"",(MATCH(A27,'[1]liste reference'!$B$7:$B$892,0))),(MATCH(A27,'[1]liste reference'!$A$7:$A$892,0)))</f>
        <v>864</v>
      </c>
      <c r="AA27" s="220"/>
      <c r="AB27" s="221"/>
      <c r="AC27" s="221"/>
      <c r="BC27" s="10" t="n">
        <f aca="false">IF(A27="","",1)</f>
        <v>1</v>
      </c>
    </row>
    <row r="28" customFormat="false" ht="12.75" hidden="false" customHeight="false" outlineLevel="0" collapsed="false">
      <c r="A28" s="222" t="s">
        <v>84</v>
      </c>
      <c r="B28" s="223" t="n">
        <v>9.1E-005</v>
      </c>
      <c r="C28" s="224"/>
      <c r="D28" s="225" t="str">
        <f aca="false">IF(ISERROR(VLOOKUP($A28,'[1]liste reference'!$A$7:$D$892,2,0)),IF(ISERROR(VLOOKUP($A28,'[1]liste reference'!$B$7:$D$892,1,0)),"",VLOOKUP($A28,'[1]liste reference'!$B$7:$D$892,1,0)),VLOOKUP($A28,'[1]liste reference'!$A$7:$D$892,2,0))</f>
        <v>Zygnema sp.</v>
      </c>
      <c r="E28" s="225" t="e">
        <f aca="false">IF(D28="",0,VLOOKUP(D28,D$22:D27,1,0))</f>
        <v>#N/A</v>
      </c>
      <c r="F28" s="226" t="n">
        <f aca="false">($B28*$B$7+$C28*$C$7)/100</f>
        <v>9.1E-005</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13</v>
      </c>
      <c r="J28" s="211" t="n">
        <f aca="false">IF(ISNUMBER(H28),IF(ISERROR(VLOOKUP($A28,'[1]liste reference'!$A$7:$P$892,4,0)),IF(ISERROR(VLOOKUP($A28,'[1]liste reference'!$B$7:$P$892,3,0)),"",VLOOKUP($A28,'[1]liste reference'!$B$7:$P$892,3,0)),VLOOKUP($A28,'[1]liste reference'!$A$7:$P$892,4,0)),"")</f>
        <v>3</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Zygnema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1148</v>
      </c>
      <c r="Q28" s="215" t="n">
        <f aca="false">IF(ISTEXT(H28),"",(B28*$B$7/100)+(C28*$C$7/100))</f>
        <v>9.1E-005</v>
      </c>
      <c r="R28" s="216" t="n">
        <f aca="false">IF(OR(ISTEXT(H28),Q28=0),"",IF(Q28&lt;0.1,1,IF(Q28&lt;1,2,IF(Q28&lt;10,3,IF(Q28&lt;50,4,IF(Q28&gt;=50,5,""))))))</f>
        <v>1</v>
      </c>
      <c r="S28" s="216" t="n">
        <f aca="false">IF(ISERROR(R28*I28),0,R28*I28)</f>
        <v>13</v>
      </c>
      <c r="T28" s="216" t="n">
        <f aca="false">IF(ISERROR(R28*I28*J28),0,R28*I28*J28)</f>
        <v>39</v>
      </c>
      <c r="U28" s="230" t="n">
        <f aca="false">IF(ISERROR(R28*J28),0,R28*J28)</f>
        <v>3</v>
      </c>
      <c r="V28" s="217" t="n">
        <v>3</v>
      </c>
      <c r="W28" s="218"/>
      <c r="Y28" s="219" t="str">
        <f aca="false">IF(A28="new.cod","NEWCOD",IF(AND((Z28=""),ISTEXT(A28)),A28,IF(Z28="","",INDEX('[1]liste reference'!$A$7:$A$892,Z28))))</f>
        <v>ZYGSPX</v>
      </c>
      <c r="Z28" s="10" t="n">
        <f aca="false">IF(ISERROR(MATCH(A28,'[1]liste reference'!$A$7:$A$892,0)),IF(ISERROR(MATCH(A28,'[1]liste reference'!$B$7:$B$892,0)),"",(MATCH(A28,'[1]liste reference'!$B$7:$B$892,0))),(MATCH(A28,'[1]liste reference'!$A$7:$A$892,0)))</f>
        <v>886</v>
      </c>
      <c r="AA28" s="220"/>
      <c r="AB28" s="221"/>
      <c r="AC28" s="221"/>
      <c r="BC28" s="10" t="n">
        <f aca="false">IF(A28="","",1)</f>
        <v>1</v>
      </c>
    </row>
    <row r="29" customFormat="false" ht="12.75" hidden="false" customHeight="false" outlineLevel="0" collapsed="false">
      <c r="A29" s="222" t="s">
        <v>85</v>
      </c>
      <c r="B29" s="223" t="n">
        <v>9.1E-005</v>
      </c>
      <c r="C29" s="224"/>
      <c r="D29" s="225" t="str">
        <f aca="false">IF(ISERROR(VLOOKUP($A29,'[1]liste reference'!$A$7:$D$892,2,0)),IF(ISERROR(VLOOKUP($A29,'[1]liste reference'!$B$7:$D$892,1,0)),"",VLOOKUP($A29,'[1]liste reference'!$B$7:$D$892,1,0)),VLOOKUP($A29,'[1]liste reference'!$A$7:$D$892,2,0))</f>
        <v>Aneura pinguis</v>
      </c>
      <c r="E29" s="225" t="e">
        <f aca="false">IF(D29="",0,VLOOKUP(D29,D$22:D28,1,0))</f>
        <v>#N/A</v>
      </c>
      <c r="F29" s="226" t="n">
        <f aca="false">($B29*$B$7+$C29*$C$7)/100</f>
        <v>9.1E-005</v>
      </c>
      <c r="G29" s="227" t="str">
        <f aca="false">IF(A29="","",IF(ISERROR(VLOOKUP($A29,'[1]liste reference'!$A$7:$P$892,13,0)),IF(ISERROR(VLOOKUP($A29,'[1]liste reference'!$B$7:$P$892,12,0)),"    -",VLOOKUP($A29,'[1]liste reference'!$B$7:$P$892,12,0)),VLOOKUP($A29,'[1]liste reference'!$A$7:$P$892,13,0)))</f>
        <v>BRh</v>
      </c>
      <c r="H29" s="209" t="n">
        <f aca="false">IF(A29="","x",IF(ISERROR(VLOOKUP($A29,'[1]liste reference'!$A$7:$P$892,14,0)),IF(ISERROR(VLOOKUP($A29,'[1]liste reference'!$B$7:$P$892,13,0)),"x",VLOOKUP($A29,'[1]liste reference'!$B$7:$P$892,13,0)),VLOOKUP($A29,'[1]liste reference'!$A$7:$P$892,14,0)))</f>
        <v>4</v>
      </c>
      <c r="I29" s="228" t="n">
        <f aca="false">IF(ISNUMBER(H29),IF(ISERROR(VLOOKUP($A29,'[1]liste reference'!$A$7:$P$892,3,0)),IF(ISERROR(VLOOKUP($A29,'[1]liste reference'!$B$7:$P$892,2,0)),"",VLOOKUP($A29,'[1]liste reference'!$B$7:$P$892,2,0)),VLOOKUP($A29,'[1]liste reference'!$A$7:$P$892,3,0)),"")</f>
        <v>14</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Aneura pinguis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126</v>
      </c>
      <c r="Q29" s="215" t="n">
        <f aca="false">IF(ISTEXT(H29),"",(B29*$B$7/100)+(C29*$C$7/100))</f>
        <v>9.1E-005</v>
      </c>
      <c r="R29" s="216" t="n">
        <f aca="false">IF(OR(ISTEXT(H29),Q29=0),"",IF(Q29&lt;0.1,1,IF(Q29&lt;1,2,IF(Q29&lt;10,3,IF(Q29&lt;50,4,IF(Q29&gt;=50,5,""))))))</f>
        <v>1</v>
      </c>
      <c r="S29" s="216" t="n">
        <f aca="false">IF(ISERROR(R29*I29),0,R29*I29)</f>
        <v>14</v>
      </c>
      <c r="T29" s="216" t="n">
        <f aca="false">IF(ISERROR(R29*I29*J29),0,R29*I29*J29)</f>
        <v>28</v>
      </c>
      <c r="U29" s="230" t="n">
        <f aca="false">IF(ISERROR(R29*J29),0,R29*J29)</f>
        <v>2</v>
      </c>
      <c r="V29" s="217" t="n">
        <v>2</v>
      </c>
      <c r="W29" s="218"/>
      <c r="Y29" s="219" t="str">
        <f aca="false">IF(A29="new.cod","NEWCOD",IF(AND((Z29=""),ISTEXT(A29)),A29,IF(Z29="","",INDEX('[1]liste reference'!$A$7:$A$892,Z29))))</f>
        <v>ANEPIN</v>
      </c>
      <c r="Z29" s="10" t="n">
        <f aca="false">IF(ISERROR(MATCH(A29,'[1]liste reference'!$A$7:$A$892,0)),IF(ISERROR(MATCH(A29,'[1]liste reference'!$B$7:$B$892,0)),"",(MATCH(A29,'[1]liste reference'!$B$7:$B$892,0))),(MATCH(A29,'[1]liste reference'!$A$7:$A$892,0)))</f>
        <v>28</v>
      </c>
      <c r="AA29" s="220"/>
      <c r="AB29" s="221"/>
      <c r="AC29" s="221"/>
      <c r="BC29" s="10" t="n">
        <f aca="false">IF(A29="","",1)</f>
        <v>1</v>
      </c>
    </row>
    <row r="30" customFormat="false" ht="12.75" hidden="false" customHeight="false" outlineLevel="0" collapsed="false">
      <c r="A30" s="222" t="s">
        <v>86</v>
      </c>
      <c r="B30" s="223" t="n">
        <v>9.1E-005</v>
      </c>
      <c r="C30" s="224"/>
      <c r="D30" s="225" t="str">
        <f aca="false">IF(ISERROR(VLOOKUP($A30,'[1]liste reference'!$A$7:$D$892,2,0)),IF(ISERROR(VLOOKUP($A30,'[1]liste reference'!$B$7:$D$892,1,0)),"",VLOOKUP($A30,'[1]liste reference'!$B$7:$D$892,1,0)),VLOOKUP($A30,'[1]liste reference'!$A$7:$D$892,2,0))</f>
        <v>Amblystegium fluviatile</v>
      </c>
      <c r="E30" s="225" t="e">
        <f aca="false">IF(D30="",0,VLOOKUP(D30,D$22:D29,1,0))</f>
        <v>#N/A</v>
      </c>
      <c r="F30" s="226" t="n">
        <f aca="false">($B30*$B$7+$C30*$C$7)/100</f>
        <v>9.1E-005</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11</v>
      </c>
      <c r="J30" s="211" t="n">
        <f aca="false">IF(ISNUMBER(H30),IF(ISERROR(VLOOKUP($A30,'[1]liste reference'!$A$7:$P$892,4,0)),IF(ISERROR(VLOOKUP($A30,'[1]liste reference'!$B$7:$P$892,3,0)),"",VLOOKUP($A30,'[1]liste reference'!$B$7:$P$892,3,0)),VLOOKUP($A30,'[1]liste reference'!$A$7:$P$892,4,0)),"")</f>
        <v>2</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Amblystegium fluviatile</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1223</v>
      </c>
      <c r="Q30" s="215" t="n">
        <f aca="false">IF(ISTEXT(H30),"",(B30*$B$7/100)+(C30*$C$7/100))</f>
        <v>9.1E-005</v>
      </c>
      <c r="R30" s="216" t="n">
        <f aca="false">IF(OR(ISTEXT(H30),Q30=0),"",IF(Q30&lt;0.1,1,IF(Q30&lt;1,2,IF(Q30&lt;10,3,IF(Q30&lt;50,4,IF(Q30&gt;=50,5,""))))))</f>
        <v>1</v>
      </c>
      <c r="S30" s="216" t="n">
        <f aca="false">IF(ISERROR(R30*I30),0,R30*I30)</f>
        <v>11</v>
      </c>
      <c r="T30" s="216" t="n">
        <f aca="false">IF(ISERROR(R30*I30*J30),0,R30*I30*J30)</f>
        <v>22</v>
      </c>
      <c r="U30" s="230" t="n">
        <f aca="false">IF(ISERROR(R30*J30),0,R30*J30)</f>
        <v>2</v>
      </c>
      <c r="V30" s="217" t="n">
        <v>2</v>
      </c>
      <c r="W30" s="218"/>
      <c r="Y30" s="219" t="str">
        <f aca="false">IF(A30="new.cod","NEWCOD",IF(AND((Z30=""),ISTEXT(A30)),A30,IF(Z30="","",INDEX('[1]liste reference'!$A$7:$A$892,Z30))))</f>
        <v>AMBFLU</v>
      </c>
      <c r="Z30" s="10" t="n">
        <f aca="false">IF(ISERROR(MATCH(A30,'[1]liste reference'!$A$7:$A$892,0)),IF(ISERROR(MATCH(A30,'[1]liste reference'!$B$7:$B$892,0)),"",(MATCH(A30,'[1]liste reference'!$B$7:$B$892,0))),(MATCH(A30,'[1]liste reference'!$A$7:$A$892,0)))</f>
        <v>23</v>
      </c>
      <c r="AA30" s="220"/>
      <c r="AB30" s="221"/>
      <c r="AC30" s="221"/>
      <c r="BC30" s="10" t="n">
        <f aca="false">IF(A30="","",1)</f>
        <v>1</v>
      </c>
    </row>
    <row r="31" customFormat="false" ht="12.75" hidden="false" customHeight="false" outlineLevel="0" collapsed="false">
      <c r="A31" s="222" t="s">
        <v>87</v>
      </c>
      <c r="B31" s="223" t="n">
        <v>9.1E-005</v>
      </c>
      <c r="C31" s="224"/>
      <c r="D31" s="225" t="str">
        <f aca="false">IF(ISERROR(VLOOKUP($A31,'[1]liste reference'!$A$7:$D$892,2,0)),IF(ISERROR(VLOOKUP($A31,'[1]liste reference'!$B$7:$D$892,1,0)),"",VLOOKUP($A31,'[1]liste reference'!$B$7:$D$892,1,0)),VLOOKUP($A31,'[1]liste reference'!$A$7:$D$892,2,0))</f>
        <v>Cinclidotus fontinaloides</v>
      </c>
      <c r="E31" s="225" t="e">
        <f aca="false">IF(D31="",0,VLOOKUP(D31,D$22:D30,1,0))</f>
        <v>#N/A</v>
      </c>
      <c r="F31" s="226" t="n">
        <f aca="false">($B31*$B$7+$C31*$C$7)/100</f>
        <v>9.1E-005</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12</v>
      </c>
      <c r="J31" s="211" t="n">
        <f aca="false">IF(ISNUMBER(H31),IF(ISERROR(VLOOKUP($A31,'[1]liste reference'!$A$7:$P$892,4,0)),IF(ISERROR(VLOOKUP($A31,'[1]liste reference'!$B$7:$P$892,3,0)),"",VLOOKUP($A31,'[1]liste reference'!$B$7:$P$892,3,0)),VLOOKUP($A31,'[1]liste reference'!$A$7:$P$892,4,0)),"")</f>
        <v>2</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Cinclidotus fontinaloides</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132</v>
      </c>
      <c r="Q31" s="215" t="n">
        <f aca="false">IF(ISTEXT(H31),"",(B31*$B$7/100)+(C31*$C$7/100))</f>
        <v>9.1E-005</v>
      </c>
      <c r="R31" s="216" t="n">
        <f aca="false">IF(OR(ISTEXT(H31),Q31=0),"",IF(Q31&lt;0.1,1,IF(Q31&lt;1,2,IF(Q31&lt;10,3,IF(Q31&lt;50,4,IF(Q31&gt;=50,5,""))))))</f>
        <v>1</v>
      </c>
      <c r="S31" s="216" t="n">
        <f aca="false">IF(ISERROR(R31*I31),0,R31*I31)</f>
        <v>12</v>
      </c>
      <c r="T31" s="216" t="n">
        <f aca="false">IF(ISERROR(R31*I31*J31),0,R31*I31*J31)</f>
        <v>24</v>
      </c>
      <c r="U31" s="230" t="n">
        <f aca="false">IF(ISERROR(R31*J31),0,R31*J31)</f>
        <v>2</v>
      </c>
      <c r="V31" s="217" t="n">
        <v>2</v>
      </c>
      <c r="W31" s="218"/>
      <c r="Y31" s="219" t="str">
        <f aca="false">IF(A31="new.cod","NEWCOD",IF(AND((Z31=""),ISTEXT(A31)),A31,IF(Z31="","",INDEX('[1]liste reference'!$A$7:$A$892,Z31))))</f>
        <v>CINFON</v>
      </c>
      <c r="Z31" s="10" t="n">
        <f aca="false">IF(ISERROR(MATCH(A31,'[1]liste reference'!$A$7:$A$892,0)),IF(ISERROR(MATCH(A31,'[1]liste reference'!$B$7:$B$892,0)),"",(MATCH(A31,'[1]liste reference'!$B$7:$B$892,0))),(MATCH(A31,'[1]liste reference'!$A$7:$A$892,0)))</f>
        <v>175</v>
      </c>
      <c r="AA31" s="220"/>
      <c r="AB31" s="221"/>
      <c r="AC31" s="221"/>
      <c r="BC31" s="10" t="n">
        <f aca="false">IF(A31="","",1)</f>
        <v>1</v>
      </c>
    </row>
    <row r="32" customFormat="false" ht="12.75" hidden="false" customHeight="false" outlineLevel="0" collapsed="false">
      <c r="A32" s="222" t="s">
        <v>88</v>
      </c>
      <c r="B32" s="223" t="n">
        <v>9.1E-005</v>
      </c>
      <c r="C32" s="224"/>
      <c r="D32" s="225" t="str">
        <f aca="false">IF(ISERROR(VLOOKUP($A32,'[1]liste reference'!$A$7:$D$892,2,0)),IF(ISERROR(VLOOKUP($A32,'[1]liste reference'!$B$7:$D$892,1,0)),"",VLOOKUP($A32,'[1]liste reference'!$B$7:$D$892,1,0)),VLOOKUP($A32,'[1]liste reference'!$A$7:$D$892,2,0))</f>
        <v>Polygonum maculosa</v>
      </c>
      <c r="E32" s="225" t="e">
        <f aca="false">IF(D32="",0,VLOOKUP(D32,D$22:D31,1,0))</f>
        <v>#N/A</v>
      </c>
      <c r="F32" s="226" t="n">
        <f aca="false">($B32*$B$7+$C32*$C$7)/100</f>
        <v>9.1E-005</v>
      </c>
      <c r="G32" s="227" t="str">
        <f aca="false">IF(A32="","",IF(ISERROR(VLOOKUP($A32,'[1]liste reference'!$A$7:$P$892,13,0)),IF(ISERROR(VLOOKUP($A32,'[1]liste reference'!$B$7:$P$892,12,0)),"    -",VLOOKUP($A32,'[1]liste reference'!$B$7:$P$892,12,0)),VLOOKUP($A32,'[1]liste reference'!$A$7:$P$892,13,0)))</f>
        <v>PHg</v>
      </c>
      <c r="H32" s="209" t="n">
        <f aca="false">IF(A32="","x",IF(ISERROR(VLOOKUP($A32,'[1]liste reference'!$A$7:$P$892,14,0)),IF(ISERROR(VLOOKUP($A32,'[1]liste reference'!$B$7:$P$892,13,0)),"x",VLOOKUP($A32,'[1]liste reference'!$B$7:$P$892,13,0)),VLOOKUP($A32,'[1]liste reference'!$A$7:$P$892,14,0)))</f>
        <v>9</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Polygonum maculosa</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357</v>
      </c>
      <c r="Q32" s="215" t="n">
        <f aca="false">IF(ISTEXT(H32),"",(B32*$B$7/100)+(C32*$C$7/100))</f>
        <v>9.1E-005</v>
      </c>
      <c r="R32" s="216" t="n">
        <f aca="false">IF(OR(ISTEXT(H32),Q32=0),"",IF(Q32&lt;0.1,1,IF(Q32&lt;1,2,IF(Q32&lt;10,3,IF(Q32&lt;50,4,IF(Q32&gt;=50,5,""))))))</f>
        <v>1</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POLMAC</v>
      </c>
      <c r="Z32" s="10" t="n">
        <f aca="false">IF(ISERROR(MATCH(A32,'[1]liste reference'!$A$7:$A$892,0)),IF(ISERROR(MATCH(A32,'[1]liste reference'!$B$7:$B$892,0)),"",(MATCH(A32,'[1]liste reference'!$B$7:$B$892,0))),(MATCH(A32,'[1]liste reference'!$A$7:$A$892,0)))</f>
        <v>602</v>
      </c>
      <c r="AA32" s="220"/>
      <c r="AB32" s="221"/>
      <c r="AC32" s="221"/>
      <c r="BC32" s="10" t="n">
        <f aca="false">IF(A32="","",1)</f>
        <v>1</v>
      </c>
    </row>
    <row r="33" customFormat="false" ht="12.75" hidden="false" customHeight="false" outlineLevel="0" collapsed="false">
      <c r="A33" s="222" t="s">
        <v>89</v>
      </c>
      <c r="B33" s="223" t="n">
        <v>9.1E-005</v>
      </c>
      <c r="C33" s="224"/>
      <c r="D33" s="225" t="str">
        <f aca="false">IF(ISERROR(VLOOKUP($A33,'[1]liste reference'!$A$7:$D$892,2,0)),IF(ISERROR(VLOOKUP($A33,'[1]liste reference'!$B$7:$D$892,1,0)),"",VLOOKUP($A33,'[1]liste reference'!$B$7:$D$892,1,0)),VLOOKUP($A33,'[1]liste reference'!$A$7:$D$892,2,0))</f>
        <v>Solanum dulcamara</v>
      </c>
      <c r="E33" s="225" t="e">
        <f aca="false">IF(D33="",0,VLOOKUP(D33,D$22:D32,1,0))</f>
        <v>#N/A</v>
      </c>
      <c r="F33" s="226" t="n">
        <f aca="false">($B33*$B$7+$C33*$C$7)/100</f>
        <v>9.1E-005</v>
      </c>
      <c r="G33" s="227" t="str">
        <f aca="false">IF(A33="","",IF(ISERROR(VLOOKUP($A33,'[1]liste reference'!$A$7:$P$892,13,0)),IF(ISERROR(VLOOKUP($A33,'[1]liste reference'!$B$7:$P$892,12,0)),"    -",VLOOKUP($A33,'[1]liste reference'!$B$7:$P$892,12,0)),VLOOKUP($A33,'[1]liste reference'!$A$7:$P$892,13,0)))</f>
        <v>PHg</v>
      </c>
      <c r="H33" s="209" t="n">
        <f aca="false">IF(A33="","x",IF(ISERROR(VLOOKUP($A33,'[1]liste reference'!$A$7:$P$892,14,0)),IF(ISERROR(VLOOKUP($A33,'[1]liste reference'!$B$7:$P$892,13,0)),"x",VLOOKUP($A33,'[1]liste reference'!$B$7:$P$892,13,0)),VLOOKUP($A33,'[1]liste reference'!$A$7:$P$892,14,0)))</f>
        <v>9</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Solanum dulcamara</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1964</v>
      </c>
      <c r="Q33" s="215" t="n">
        <f aca="false">IF(ISTEXT(H33),"",(B33*$B$7/100)+(C33*$C$7/100))</f>
        <v>9.1E-005</v>
      </c>
      <c r="R33" s="216" t="n">
        <f aca="false">IF(OR(ISTEXT(H33),Q33=0),"",IF(Q33&lt;0.1,1,IF(Q33&lt;1,2,IF(Q33&lt;10,3,IF(Q33&lt;50,4,IF(Q33&gt;=50,5,""))))))</f>
        <v>1</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SOADUL</v>
      </c>
      <c r="Z33" s="10" t="n">
        <f aca="false">IF(ISERROR(MATCH(A33,'[1]liste reference'!$A$7:$A$892,0)),IF(ISERROR(MATCH(A33,'[1]liste reference'!$B$7:$B$892,0)),"",(MATCH(A33,'[1]liste reference'!$B$7:$B$892,0))),(MATCH(A33,'[1]liste reference'!$A$7:$A$892,0)))</f>
        <v>788</v>
      </c>
      <c r="AA33" s="220"/>
      <c r="AB33" s="221"/>
      <c r="AC33" s="221"/>
      <c r="BC33" s="10" t="n">
        <f aca="false">IF(A33="","",1)</f>
        <v>1</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90</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Isère</v>
      </c>
      <c r="B84" s="253" t="str">
        <f aca="false">C3</f>
        <v>Isère à Tullins</v>
      </c>
      <c r="C84" s="254" t="n">
        <f aca="false">A4</f>
        <v>41178</v>
      </c>
      <c r="D84" s="255" t="n">
        <f aca="false">IF(ISERROR(SUM($T$23:$T$82)/SUM($U$23:$U$82)),"",SUM($T$23:$T$82)/SUM($U$23:$U$82))</f>
        <v>10.6875</v>
      </c>
      <c r="E84" s="256" t="n">
        <f aca="false">N13</f>
        <v>11</v>
      </c>
      <c r="F84" s="253" t="n">
        <f aca="false">N14</f>
        <v>9</v>
      </c>
      <c r="G84" s="253" t="n">
        <f aca="false">N15</f>
        <v>3</v>
      </c>
      <c r="H84" s="253" t="n">
        <f aca="false">N16</f>
        <v>5</v>
      </c>
      <c r="I84" s="253" t="n">
        <f aca="false">N17</f>
        <v>1</v>
      </c>
      <c r="J84" s="257" t="n">
        <f aca="false">N8</f>
        <v>9.88888888888889</v>
      </c>
      <c r="K84" s="255" t="n">
        <f aca="false">N9</f>
        <v>3.65528536657689</v>
      </c>
      <c r="L84" s="256" t="n">
        <f aca="false">N10</f>
        <v>4</v>
      </c>
      <c r="M84" s="256" t="n">
        <f aca="false">N11</f>
        <v>14</v>
      </c>
      <c r="N84" s="255" t="n">
        <f aca="false">O8</f>
        <v>1.77777777777778</v>
      </c>
      <c r="O84" s="255" t="n">
        <f aca="false">O9</f>
        <v>0.666666666666667</v>
      </c>
      <c r="P84" s="256" t="n">
        <f aca="false">O10</f>
        <v>1</v>
      </c>
      <c r="Q84" s="256" t="n">
        <f aca="false">O11</f>
        <v>3</v>
      </c>
      <c r="R84" s="256" t="n">
        <f aca="false">F21</f>
        <v>0.00182</v>
      </c>
      <c r="S84" s="256" t="n">
        <f aca="false">K11</f>
        <v>0</v>
      </c>
      <c r="T84" s="256" t="n">
        <f aca="false">K12</f>
        <v>6</v>
      </c>
      <c r="U84" s="256" t="n">
        <f aca="false">K13</f>
        <v>3</v>
      </c>
      <c r="V84" s="258" t="n">
        <f aca="false">K14</f>
        <v>0</v>
      </c>
      <c r="W84" s="259" t="n">
        <f aca="false">K15</f>
        <v>2</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91</v>
      </c>
      <c r="R86" s="10"/>
      <c r="S86" s="217"/>
      <c r="T86" s="10"/>
      <c r="U86" s="10"/>
      <c r="V86" s="10"/>
    </row>
    <row r="87" customFormat="false" ht="12.75" hidden="true" customHeight="false" outlineLevel="0" collapsed="false">
      <c r="P87" s="10"/>
      <c r="Q87" s="10" t="s">
        <v>92</v>
      </c>
      <c r="R87" s="10"/>
      <c r="S87" s="217" t="n">
        <f aca="false">VLOOKUP(MAX($S$23:$S$82),($S$23:$U$82),1,0)</f>
        <v>14</v>
      </c>
      <c r="T87" s="10"/>
      <c r="U87" s="10"/>
      <c r="V87" s="10"/>
    </row>
    <row r="88" customFormat="false" ht="12.75" hidden="true" customHeight="false" outlineLevel="0" collapsed="false">
      <c r="P88" s="10"/>
      <c r="Q88" s="10" t="s">
        <v>93</v>
      </c>
      <c r="R88" s="10"/>
      <c r="S88" s="217" t="n">
        <f aca="false">VLOOKUP((S87),($S$23:$U$82),2,0)</f>
        <v>28</v>
      </c>
      <c r="T88" s="10"/>
      <c r="U88" s="10"/>
      <c r="V88" s="10"/>
    </row>
    <row r="89" customFormat="false" ht="12.75" hidden="false" customHeight="false" outlineLevel="0" collapsed="false">
      <c r="Q89" s="10" t="s">
        <v>94</v>
      </c>
      <c r="R89" s="10"/>
      <c r="S89" s="217" t="n">
        <f aca="false">VLOOKUP((S87),($S$23:$U$82),3,0)</f>
        <v>2</v>
      </c>
      <c r="T89" s="10"/>
    </row>
    <row r="90" customFormat="false" ht="12.75" hidden="false" customHeight="false" outlineLevel="0" collapsed="false">
      <c r="Q90" s="10" t="s">
        <v>95</v>
      </c>
      <c r="R90" s="10"/>
      <c r="S90" s="262" t="n">
        <f aca="false">IF(ISERROR(SUM($T$23:$T$82)/SUM($U$23:$U$82)),"",(SUM($T$23:$T$82)-S88)/(SUM($U$23:$U$82)-S89))</f>
        <v>10.2142857142857</v>
      </c>
      <c r="T90" s="10"/>
    </row>
    <row r="91" customFormat="false" ht="12.75" hidden="false" customHeight="false" outlineLevel="0" collapsed="false">
      <c r="Q91" s="216" t="s">
        <v>96</v>
      </c>
      <c r="R91" s="216"/>
      <c r="S91" s="216" t="str">
        <f aca="false">INDEX('[1]liste reference'!$A$7:$A$892,$T$91)</f>
        <v>ANEPIN</v>
      </c>
      <c r="T91" s="10" t="n">
        <f aca="false">IF(ISERROR(MATCH($S$93,'[1]liste reference'!$A$7:$A$892,0)),MATCH($S$93,'[1]liste reference'!$B$7:$B$892,0),(MATCH($S$93,'[1]liste reference'!$A$7:$A$892,0)))</f>
        <v>28</v>
      </c>
      <c r="U91" s="251"/>
    </row>
    <row r="92" customFormat="false" ht="12.75" hidden="false" customHeight="false" outlineLevel="0" collapsed="false">
      <c r="Q92" s="10" t="s">
        <v>97</v>
      </c>
      <c r="R92" s="10"/>
      <c r="S92" s="10" t="n">
        <f aca="false">MATCH(S87,$S$23:$S$82,0)</f>
        <v>7</v>
      </c>
      <c r="T92" s="10"/>
    </row>
    <row r="93" customFormat="false" ht="12.75" hidden="false" customHeight="false" outlineLevel="0" collapsed="false">
      <c r="Q93" s="216" t="s">
        <v>98</v>
      </c>
      <c r="R93" s="10"/>
      <c r="S93" s="216" t="str">
        <f aca="false">INDEX($A$23:$A$82,$S$92)</f>
        <v>ANEPIN</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2013-01-28T13:02:44Z</dcterms:created>
  <dc:creator> </dc:creator>
  <dc:description/>
  <dc:language>fr-FR</dc:language>
  <cp:lastModifiedBy> </cp:lastModifiedBy>
  <dcterms:modified xsi:type="dcterms:W3CDTF">2013-01-28T13:02:46Z</dcterms:modified>
  <cp:revision>0</cp:revision>
  <dc:subject/>
  <dc:title/>
</cp:coreProperties>
</file>