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<sst xmlns="http://schemas.openxmlformats.org/spreadsheetml/2006/main" count="97" uniqueCount="93">
  <si>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</si>
  <si>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</si>
  <si>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</si>
  <si>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L.BOURGOIN M.GAUTHIER</t>
  </si>
  <si>
    <t xml:space="preserve">conforme AFNOR T90-395 oct. 2003</t>
  </si>
  <si>
    <t xml:space="preserve">ISERE</t>
  </si>
  <si>
    <t xml:space="preserve">ISERE A TULLINS</t>
  </si>
  <si>
    <t xml:space="preserve">06147130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</si>
  <si>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</si>
  <si>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</si>
  <si>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</si>
  <si>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</si>
  <si>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</si>
  <si>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</si>
  <si>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</si>
  <si>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</si>
  <si>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CINAQU</t>
  </si>
  <si>
    <t xml:space="preserve">Faciès dominant</t>
  </si>
  <si>
    <t xml:space="preserve">chenal lotique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</si>
  <si>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</si>
  <si>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</si>
  <si>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</si>
  <si>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</si>
  <si>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</si>
  <si>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</si>
  <si>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</si>
  <si>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</si>
  <si>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</si>
  <si>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</si>
  <si>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</si>
  <si>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</si>
  <si>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</si>
  <si>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</si>
  <si>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</si>
  <si>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</si>
  <si>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</si>
  <si>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</si>
  <si>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</si>
  <si>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</si>
  <si>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</si>
  <si>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</si>
  <si>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</si>
  <si>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</si>
  <si>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</si>
  <si>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</si>
  <si>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</si>
  <si>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</si>
  <si>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</si>
  <si>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</si>
  <si>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</si>
  <si>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</si>
  <si>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</si>
  <si>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</si>
  <si>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</si>
  <si>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</si>
  <si>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</si>
  <si>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</si>
  <si>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</si>
  <si>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</si>
  <si>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</si>
  <si>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</si>
  <si>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</si>
  <si>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</si>
  <si>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</si>
  <si>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</si>
  <si>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</si>
  <si>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</si>
  <si>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</si>
  <si>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</si>
  <si>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</si>
  <si>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</si>
  <si>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</si>
  <si>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</si>
  <si>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</si>
  <si>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</si>
  <si>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</si>
  <si>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</si>
  <si>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</si>
  <si>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OEDSPX</t>
  </si>
  <si>
    <t xml:space="preserve">PHOSPX</t>
  </si>
  <si>
    <t xml:space="preserve">VAUSPX</t>
  </si>
  <si>
    <t xml:space="preserve">LEJSPX</t>
  </si>
  <si>
    <t xml:space="preserve">AMBRIP</t>
  </si>
  <si>
    <t xml:space="preserve">ORTRIV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</si>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</sst>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ISTUL_25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10.2307692307692</v>
      </c>
      <c r="M5" s="53"/>
      <c r="N5" s="54" t="s">
        <v>16</v>
      </c>
      <c r="O5" s="55" t="n">
        <v>9.36363636363636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/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100</v>
      </c>
      <c r="C7" s="67"/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9.14285714285714</v>
      </c>
      <c r="O8" s="84" t="n">
        <f aca="false">IF(ISERROR(AVERAGE(J23:J82)),"      -",AVERAGE(J23:J82))</f>
        <v>1.85714285714286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 t="n">
        <v>0.002</v>
      </c>
      <c r="C9" s="87"/>
      <c r="D9" s="88"/>
      <c r="E9" s="88"/>
      <c r="F9" s="89" t="n">
        <f aca="false">($B9*$B$7+$C9*$C$7)/100</f>
        <v>0.002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4.58034844053754</v>
      </c>
      <c r="O9" s="84" t="n">
        <f aca="false">IF(ISERROR(STDEVP(J23:J82)),"      -",STDEVP(J23:J82))</f>
        <v>0.63887656499994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 t="s">
        <v>31</v>
      </c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0.0012</v>
      </c>
      <c r="C12" s="119"/>
      <c r="D12" s="111"/>
      <c r="E12" s="111"/>
      <c r="F12" s="112" t="n">
        <f aca="false">($B12*$B$7+$C12*$C$7)/100</f>
        <v>0.0012</v>
      </c>
      <c r="G12" s="120"/>
      <c r="H12" s="68"/>
      <c r="I12" s="121" t="s">
        <v>38</v>
      </c>
      <c r="J12" s="121"/>
      <c r="K12" s="115" t="n">
        <f aca="false">COUNTIF($G$23:$G$82,"=ALG")</f>
        <v>4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0.0008</v>
      </c>
      <c r="C13" s="119"/>
      <c r="D13" s="111"/>
      <c r="E13" s="111"/>
      <c r="F13" s="112" t="n">
        <f aca="false">($B13*$B$7+$C13*$C$7)/100</f>
        <v>0.0008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0.002</v>
      </c>
      <c r="C17" s="119"/>
      <c r="D17" s="111"/>
      <c r="E17" s="111"/>
      <c r="F17" s="143"/>
      <c r="G17" s="112" t="n">
        <f aca="false">($B17*$B$7+$C17*$C$7)/100</f>
        <v>0.002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0.002</v>
      </c>
      <c r="G19" s="156" t="n">
        <f aca="false">SUM(G16:G18)</f>
        <v>0.002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0.002</v>
      </c>
      <c r="C20" s="166" t="n">
        <f aca="false">SUM(C23:C82)</f>
        <v>0</v>
      </c>
      <c r="D20" s="167"/>
      <c r="E20" s="168" t="s">
        <v>53</v>
      </c>
      <c r="F20" s="169" t="n">
        <f aca="false">($B20*$B$7+$C20*$C$7)/100</f>
        <v>0.002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0.002</v>
      </c>
      <c r="C21" s="179" t="n">
        <f aca="false">C20*C7/100</f>
        <v>0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0.002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0.0002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0.0002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0.0002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0.0002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Oedogonium sp.</v>
      </c>
      <c r="E24" s="226" t="e">
        <f aca="false">IF(D24="",0,VLOOKUP(D24,D$22:D23,1,0))</f>
        <v>#N/A</v>
      </c>
      <c r="F24" s="227" t="n">
        <f aca="false">($B24*$B$7+$C24*$C$7)/100</f>
        <v>0.0002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Oedogonium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1134</v>
      </c>
      <c r="Q24" s="216" t="n">
        <f aca="false">IF(ISTEXT(H24),"",(B24*$B$7/100)+(C24*$C$7/100))</f>
        <v>0.0002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6</v>
      </c>
      <c r="T24" s="217" t="n">
        <f aca="false">IF(ISERROR(R24*I24*J24),0,R24*I24*J24)</f>
        <v>12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OEDSPX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55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0.0002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0.0002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6" t="n">
        <f aca="false">IF(ISTEXT(H25),"",(B25*$B$7/100)+(C25*$C$7/100))</f>
        <v>0.0002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13</v>
      </c>
      <c r="T25" s="217" t="n">
        <f aca="false">IF(ISERROR(R25*I25*J25),0,R25*I25*J25)</f>
        <v>26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0.0006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Vaucheria sp.</v>
      </c>
      <c r="E26" s="226" t="e">
        <f aca="false">IF(D26="",0,VLOOKUP(D26,D$22:D25,1,0))</f>
        <v>#N/A</v>
      </c>
      <c r="F26" s="227" t="n">
        <f aca="false">($B26*$B$7+$C26*$C$7)/100</f>
        <v>0.0006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4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Vaucheria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6193</v>
      </c>
      <c r="Q26" s="216" t="n">
        <f aca="false">IF(ISTEXT(H26),"",(B26*$B$7/100)+(C26*$C$7/100))</f>
        <v>0.0006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4</v>
      </c>
      <c r="T26" s="217" t="n">
        <f aca="false">IF(ISERROR(R26*I26*J26),0,R26*I26*J26)</f>
        <v>4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VAUSPX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0.0002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Lejeunea sp.</v>
      </c>
      <c r="E27" s="226" t="e">
        <f aca="false">IF(D27="",0,VLOOKUP(D27,D$22:D26,1,0))</f>
        <v>#N/A</v>
      </c>
      <c r="F27" s="227" t="n">
        <f aca="false">($B27*$B$7+$C27*$C$7)/100</f>
        <v>0.0002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BRh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4</v>
      </c>
      <c r="I27" s="211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1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Lejeunea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19831</v>
      </c>
      <c r="Q27" s="216" t="n">
        <f aca="false">IF(ISTEXT(H27),"",(B27*$B$7/100)+(C27*$C$7/100))</f>
        <v>0.0002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LEJSPX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108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0.0002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Amblystegium riparium</v>
      </c>
      <c r="E28" s="226" t="e">
        <f aca="false">IF(D28="",0,VLOOKUP(D28,D$22:D27,1,0))</f>
        <v>#N/A</v>
      </c>
      <c r="F28" s="227" t="n">
        <f aca="false">($B28*$B$7+$C28*$C$7)/100</f>
        <v>0.0002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5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Amblystegium riparium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1219</v>
      </c>
      <c r="Q28" s="216" t="n">
        <f aca="false">IF(ISTEXT(H28),"",(B28*$B$7/100)+(C28*$C$7/100))</f>
        <v>0.0002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5</v>
      </c>
      <c r="T28" s="217" t="n">
        <f aca="false">IF(ISERROR(R28*I28*J28),0,R28*I28*J28)</f>
        <v>10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AMBRIP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148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0.0002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Cinclidotus aquaticus</v>
      </c>
      <c r="E29" s="226" t="e">
        <f aca="false">IF(D29="",0,VLOOKUP(D29,D$22:D28,1,0))</f>
        <v>#N/A</v>
      </c>
      <c r="F29" s="227" t="n">
        <f aca="false">($B29*$B$7+$C29*$C$7)/100</f>
        <v>0.0002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15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Cinclidotus aquaticus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1318</v>
      </c>
      <c r="Q29" s="216" t="n">
        <f aca="false">IF(ISTEXT(H29),"",(B29*$B$7/100)+(C29*$C$7/100))</f>
        <v>0.0002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15</v>
      </c>
      <c r="T29" s="217" t="n">
        <f aca="false">IF(ISERROR(R29*I29*J29),0,R29*I29*J29)</f>
        <v>30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CINAQU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170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0.0002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Orthotrichum rivulare</v>
      </c>
      <c r="E30" s="226" t="e">
        <f aca="false">IF(D30="",0,VLOOKUP(D30,D$22:D29,1,0))</f>
        <v>#N/A</v>
      </c>
      <c r="F30" s="227" t="n">
        <f aca="false">($B30*$B$7+$C30*$C$7)/100</f>
        <v>0.0002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15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3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Orthotrichum rivulare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1352</v>
      </c>
      <c r="Q30" s="216" t="n">
        <f aca="false">IF(ISTEXT(H30),"",(B30*$B$7/100)+(C30*$C$7/100))</f>
        <v>0.0002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15</v>
      </c>
      <c r="T30" s="217" t="n">
        <f aca="false">IF(ISERROR(R30*I30*J30),0,R30*I30*J30)</f>
        <v>45</v>
      </c>
      <c r="U30" s="229" t="n">
        <f aca="false">IF(ISERROR(R30*J30),0,R30*J30)</f>
        <v>3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ORTRIV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229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ISERE</v>
      </c>
      <c r="B84" s="259" t="str">
        <f aca="false">C3</f>
        <v>ISERE A TULLINS</v>
      </c>
      <c r="C84" s="260" t="n">
        <f aca="false">A4</f>
        <v>41907</v>
      </c>
      <c r="D84" s="261" t="n">
        <f aca="false">IF(ISERROR(SUM($T$23:$T$82)/SUM($U$23:$U$82)),"",SUM($T$23:$T$82)/SUM($U$23:$U$82))</f>
        <v>10.2307692307692</v>
      </c>
      <c r="E84" s="262" t="n">
        <f aca="false">N13</f>
        <v>8</v>
      </c>
      <c r="F84" s="259" t="n">
        <f aca="false">N14</f>
        <v>7</v>
      </c>
      <c r="G84" s="259" t="n">
        <f aca="false">N15</f>
        <v>2</v>
      </c>
      <c r="H84" s="259" t="n">
        <f aca="false">N16</f>
        <v>4</v>
      </c>
      <c r="I84" s="259" t="n">
        <f aca="false">N17</f>
        <v>1</v>
      </c>
      <c r="J84" s="263" t="n">
        <f aca="false">N8</f>
        <v>9.14285714285714</v>
      </c>
      <c r="K84" s="261" t="n">
        <f aca="false">N9</f>
        <v>4.58034844053754</v>
      </c>
      <c r="L84" s="262" t="n">
        <f aca="false">N10</f>
        <v>4</v>
      </c>
      <c r="M84" s="262" t="n">
        <f aca="false">N11</f>
        <v>15</v>
      </c>
      <c r="N84" s="261" t="n">
        <f aca="false">O8</f>
        <v>1.85714285714286</v>
      </c>
      <c r="O84" s="261" t="n">
        <f aca="false">O9</f>
        <v>0.63887656499994</v>
      </c>
      <c r="P84" s="262" t="n">
        <f aca="false">O10</f>
        <v>1</v>
      </c>
      <c r="Q84" s="262" t="n">
        <f aca="false">O11</f>
        <v>3</v>
      </c>
      <c r="R84" s="262" t="n">
        <f aca="false">F21</f>
        <v>0.002</v>
      </c>
      <c r="S84" s="262" t="n">
        <f aca="false">K11</f>
        <v>0</v>
      </c>
      <c r="T84" s="262" t="n">
        <f aca="false">K12</f>
        <v>4</v>
      </c>
      <c r="U84" s="262" t="n">
        <f aca="false">K13</f>
        <v>4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8" t="n">
        <f aca="false">VLOOKUP(MAX($S$23:$S$82),($S$23:$U$82),1,0)</f>
        <v>15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8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8" t="n">
        <f aca="false">IF(ISERROR(SUM($T$23:$T$82)/SUM($U$23:$U$82)),"",(SUM($T$23:$T$82)-S88)/(SUM($U$23:$U$82)-S89))</f>
        <v>9.36363636363636</v>
      </c>
      <c r="T90" s="10"/>
    </row>
    <row r="91" customFormat="false" ht="12.75" hidden="false" customHeight="false" outlineLevel="0" collapsed="false">
      <c r="Q91" s="217" t="s">
        <v>90</v>
      </c>
      <c r="R91" s="217"/>
      <c r="S91" s="217" t="str">
        <f aca="false">INDEX('[2]liste reference'!$A$8:$A$904,$T$91)</f>
        <v>CINAQU</v>
      </c>
      <c r="T91" s="10" t="n">
        <f aca="false">IF(ISERROR(MATCH($S$93,'[2]liste reference'!$A$8:$A$904,0)),MATCH($S$93,'[2]liste reference'!$B$8:$B$904,0),(MATCH($S$93,'[2]liste reference'!$A$8:$A$904,0)))</f>
        <v>170</v>
      </c>
      <c r="U91" s="257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92</v>
      </c>
      <c r="R93" s="10"/>
      <c r="S93" s="217" t="str">
        <f aca="false">INDEX($A$23:$A$82,$S$92)</f>
        <v>CINAQU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2015-06-01T17:54:50Z</dcterms:created>
  <dc:creator>Laurent Bourgoin</dc:creator>
  <dc:description/>
  <dc:language>fr-FR</dc:language>
  <cp:lastModifiedBy>Laurent Bourgoin</cp:lastModifiedBy>
  <dcterms:modified xsi:type="dcterms:W3CDTF">2015-06-01T17:54:58Z</dcterms:modified>
  <cp:revision>0</cp:revision>
  <dc:subject/>
  <dc:title/>
</cp:coreProperties>
</file>