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<sst xmlns="http://schemas.openxmlformats.org/spreadsheetml/2006/main" count="93" uniqueCount="90">
  <si>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</si>
  <si>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</si>
  <si>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</si>
  <si>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</si>
  <si>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</si>
  <si>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ISERE</t>
  </si>
  <si>
    <t xml:space="preserve">Isère à St Gervais</t>
  </si>
  <si>
    <t xml:space="preserve">06147200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</si>
  <si>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</si>
  <si>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</si>
  <si>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</si>
  <si>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</si>
  <si>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</si>
  <si>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</si>
  <si>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</si>
  <si>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</si>
  <si>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</si>
  <si>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</si>
  <si>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pl. lent</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</si>
  <si>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</si>
  <si>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</si>
  <si>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</si>
  <si>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</si>
  <si>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</si>
  <si>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</si>
  <si>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</si>
  <si>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</si>
  <si>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</si>
  <si>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</si>
  <si>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</si>
  <si>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</si>
  <si>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</si>
  <si>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</si>
  <si>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</si>
  <si>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</si>
  <si>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</si>
  <si>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</si>
  <si>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</si>
  <si>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</si>
  <si>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</si>
  <si>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</si>
  <si>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</si>
  <si>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</si>
  <si>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</si>
  <si>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</si>
  <si>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</si>
  <si>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</si>
  <si>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</si>
  <si>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</si>
  <si>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</si>
  <si>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</si>
  <si>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</si>
  <si>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</si>
  <si>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</si>
  <si>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</si>
  <si>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</si>
  <si>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</si>
  <si>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</si>
  <si>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</si>
  <si>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</si>
  <si>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</si>
  <si>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</si>
  <si>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</si>
  <si>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</si>
  <si>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</si>
  <si>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</si>
  <si>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</si>
  <si>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</si>
  <si>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</si>
  <si>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</si>
  <si>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</si>
  <si>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</si>
  <si>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</si>
  <si>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</si>
  <si>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</si>
  <si>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</si>
  <si>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</si>
  <si>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OEDSPX</t>
  </si>
  <si>
    <t xml:space="preserve">PHOSPX</t>
  </si>
  <si>
    <t xml:space="preserve">CINAQU</t>
  </si>
  <si>
    <t xml:space="preserve">CINRIP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</si>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</sst>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ISAING_24-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v>
      </c>
      <c r="M5" s="53"/>
      <c r="N5" s="54"/>
      <c r="O5" s="55" t="n">
        <v>10</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10.6</v>
      </c>
      <c r="O8" s="83" t="n">
        <f aca="false">AVERAGE(J23:J82)</f>
        <v>1.8</v>
      </c>
      <c r="P8" s="84"/>
      <c r="Q8" s="10"/>
      <c r="R8" s="10"/>
      <c r="S8" s="10"/>
      <c r="T8" s="10"/>
      <c r="U8" s="10"/>
      <c r="V8" s="10"/>
      <c r="W8" s="22"/>
      <c r="X8" s="23"/>
    </row>
    <row r="9" customFormat="false" ht="13.5" hidden="false" customHeight="false" outlineLevel="0" collapsed="false">
      <c r="A9" s="43" t="s">
        <v>28</v>
      </c>
      <c r="B9" s="85" t="n">
        <v>0.02</v>
      </c>
      <c r="C9" s="86" t="n">
        <v>19.2</v>
      </c>
      <c r="D9" s="87"/>
      <c r="E9" s="87"/>
      <c r="F9" s="88" t="n">
        <f aca="false">($B9*$B$7+$C9*$C$7)/100</f>
        <v>0.979</v>
      </c>
      <c r="G9" s="89"/>
      <c r="H9" s="90"/>
      <c r="I9" s="91"/>
      <c r="J9" s="92"/>
      <c r="K9" s="73"/>
      <c r="L9" s="93"/>
      <c r="M9" s="82" t="s">
        <v>29</v>
      </c>
      <c r="N9" s="83" t="n">
        <f aca="false">STDEV(I23:I82)</f>
        <v>4.27784992724149</v>
      </c>
      <c r="O9" s="83" t="n">
        <f aca="false">STDEV(J23:J82)</f>
        <v>0.447213595499958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0.02</v>
      </c>
      <c r="C12" s="118" t="n">
        <v>18.5</v>
      </c>
      <c r="D12" s="110"/>
      <c r="E12" s="110"/>
      <c r="F12" s="111" t="n">
        <f aca="false">($B12*$B$7+$C12*$C$7)/100</f>
        <v>0.944</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0.7</v>
      </c>
      <c r="D13" s="110"/>
      <c r="E13" s="110"/>
      <c r="F13" s="111" t="n">
        <f aca="false">($B13*$B$7+$C13*$C$7)/100</f>
        <v>0.035</v>
      </c>
      <c r="G13" s="119"/>
      <c r="H13" s="68"/>
      <c r="I13" s="120" t="s">
        <v>39</v>
      </c>
      <c r="J13" s="120"/>
      <c r="K13" s="114" t="n">
        <f aca="false">COUNTIF($G$23:$G$82,"=BRm")+COUNTIF($G$23:$G$82,"=BRh")</f>
        <v>2</v>
      </c>
      <c r="L13" s="115"/>
      <c r="M13" s="126" t="s">
        <v>40</v>
      </c>
      <c r="N13" s="127" t="n">
        <f aca="false">COUNTIF(F23:F82,"&gt;0")</f>
        <v>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1</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0.02</v>
      </c>
      <c r="C17" s="118" t="n">
        <v>19.2</v>
      </c>
      <c r="D17" s="110"/>
      <c r="E17" s="110"/>
      <c r="F17" s="142"/>
      <c r="G17" s="111" t="n">
        <f aca="false">($B17*$B$7+$C17*$C$7)/100</f>
        <v>0.979</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0.979</v>
      </c>
      <c r="G19" s="155" t="n">
        <f aca="false">SUM(G16:G18)</f>
        <v>0.979</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0.0213588283157038</v>
      </c>
      <c r="C20" s="165" t="n">
        <f aca="false">SUM(C23:C82)</f>
        <v>19.2</v>
      </c>
      <c r="D20" s="166"/>
      <c r="E20" s="167" t="s">
        <v>52</v>
      </c>
      <c r="F20" s="168" t="n">
        <f aca="false">($B20*$B$7+$C20*$C$7)/100</f>
        <v>0.980290886899919</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0.0202908868999186</v>
      </c>
      <c r="C21" s="178" t="n">
        <f aca="false">C20*C7/100</f>
        <v>0.96</v>
      </c>
      <c r="D21" s="110" t="str">
        <f aca="false">IF(F21=0,"",IF((ABS(F21-F19))&gt;(0.2*F21),CONCATENATE(" rec. par taxa (",F21," %) supérieur à 20 % !"),""))</f>
        <v/>
      </c>
      <c r="E21" s="179" t="str">
        <f aca="false">IF(F21=0,"",IF((ABS(F21-F19))&gt;(0.2*F21),CONCATENATE("ATTENTION : écart entre rec. par grp (",F19," %) ","et",""),""))</f>
        <v/>
      </c>
      <c r="F21" s="180" t="n">
        <f aca="false">B21+C21</f>
        <v>0.980290886899919</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0.0209316517493898</v>
      </c>
      <c r="C23" s="205" t="n">
        <v>14.7</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0.75488506916192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0.75488506916192</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0.000427176566314077</v>
      </c>
      <c r="C24" s="224" t="n">
        <v>0.3</v>
      </c>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0.0154058177379984</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0.0154058177379984</v>
      </c>
      <c r="R24" s="216" t="n">
        <f aca="false">IF(OR(ISTEXT(H24),Q24=0),"",IF(Q24&lt;0.1,1,IF(Q24&lt;1,2,IF(Q24&lt;10,3,IF(Q24&lt;50,4,IF(Q24&gt;=50,5,""))))))</f>
        <v>1</v>
      </c>
      <c r="S24" s="216" t="n">
        <f aca="false">IF(ISERROR(R24*I24),0,R24*I24)</f>
        <v>6</v>
      </c>
      <c r="T24" s="216" t="n">
        <f aca="false">IF(ISERROR(R24*I24*J24),0,R24*I24*J24)</f>
        <v>12</v>
      </c>
      <c r="U24" s="230" t="n">
        <f aca="false">IF(ISERROR(R24*J24),0,R24*J24)</f>
        <v>2</v>
      </c>
      <c r="V24" s="217" t="n">
        <v>2</v>
      </c>
      <c r="W24" s="231"/>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78</v>
      </c>
      <c r="B25" s="223" t="n">
        <v>0</v>
      </c>
      <c r="C25" s="224" t="n">
        <v>3.5</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0.175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0.175</v>
      </c>
      <c r="R25" s="216" t="n">
        <f aca="false">IF(OR(ISTEXT(H25),Q25=0),"",IF(Q25&lt;0.1,1,IF(Q25&lt;1,2,IF(Q25&lt;10,3,IF(Q25&lt;50,4,IF(Q25&gt;=50,5,""))))))</f>
        <v>2</v>
      </c>
      <c r="S25" s="216" t="n">
        <f aca="false">IF(ISERROR(R25*I25),0,R25*I25)</f>
        <v>26</v>
      </c>
      <c r="T25" s="216" t="n">
        <f aca="false">IF(ISERROR(R25*I25*J25),0,R25*I25*J25)</f>
        <v>52</v>
      </c>
      <c r="U25" s="230" t="n">
        <f aca="false">IF(ISERROR(R25*J25),0,R25*J25)</f>
        <v>4</v>
      </c>
      <c r="V25" s="217" t="n">
        <v>4</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0</v>
      </c>
      <c r="C26" s="224" t="n">
        <v>0.2</v>
      </c>
      <c r="D26" s="225" t="str">
        <f aca="false">IF(ISERROR(VLOOKUP($A26,'[1]liste reference'!$A$7:$D$892,2,0)),IF(ISERROR(VLOOKUP($A26,'[1]liste reference'!$B$7:$D$892,1,0)),"",VLOOKUP($A26,'[1]liste reference'!$B$7:$D$892,1,0)),VLOOKUP($A26,'[1]liste reference'!$A$7:$D$892,2,0))</f>
        <v>Cinclidotus aquaticus</v>
      </c>
      <c r="E26" s="225" t="e">
        <f aca="false">IF(D26="",0,VLOOKUP(D26,D$22:D25,1,0))</f>
        <v>#N/A</v>
      </c>
      <c r="F26" s="226" t="n">
        <f aca="false">($B26*$B$7+$C26*$C$7)/100</f>
        <v>0.01</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15</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Cinclidotus aquaticus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1318</v>
      </c>
      <c r="Q26" s="215" t="n">
        <f aca="false">IF(ISTEXT(H26),"",(B26*$B$7/100)+(C26*$C$7/100))</f>
        <v>0.01</v>
      </c>
      <c r="R26" s="216" t="n">
        <f aca="false">IF(OR(ISTEXT(H26),Q26=0),"",IF(Q26&lt;0.1,1,IF(Q26&lt;1,2,IF(Q26&lt;10,3,IF(Q26&lt;50,4,IF(Q26&gt;=50,5,""))))))</f>
        <v>1</v>
      </c>
      <c r="S26" s="216" t="n">
        <f aca="false">IF(ISERROR(R26*I26),0,R26*I26)</f>
        <v>15</v>
      </c>
      <c r="T26" s="216" t="n">
        <f aca="false">IF(ISERROR(R26*I26*J26),0,R26*I26*J26)</f>
        <v>30</v>
      </c>
      <c r="U26" s="230" t="n">
        <f aca="false">IF(ISERROR(R26*J26),0,R26*J26)</f>
        <v>2</v>
      </c>
      <c r="V26" s="217" t="n">
        <v>2</v>
      </c>
      <c r="W26" s="218"/>
      <c r="Y26" s="219" t="str">
        <f aca="false">IF(A26="new.cod","NEWCOD",IF(AND((Z26=""),ISTEXT(A26)),A26,IF(Z26="","",INDEX('[1]liste reference'!$A$7:$A$892,Z26))))</f>
        <v>CINAQU</v>
      </c>
      <c r="Z26" s="10" t="n">
        <f aca="false">IF(ISERROR(MATCH(A26,'[1]liste reference'!$A$7:$A$892,0)),IF(ISERROR(MATCH(A26,'[1]liste reference'!$B$7:$B$892,0)),"",(MATCH(A26,'[1]liste reference'!$B$7:$B$892,0))),(MATCH(A26,'[1]liste reference'!$A$7:$A$892,0)))</f>
        <v>173</v>
      </c>
      <c r="AA26" s="220"/>
      <c r="AB26" s="221"/>
      <c r="AC26" s="221"/>
      <c r="BC26" s="10" t="n">
        <f aca="false">IF(A26="","",1)</f>
        <v>1</v>
      </c>
    </row>
    <row r="27" customFormat="false" ht="12.75" hidden="false" customHeight="false" outlineLevel="0" collapsed="false">
      <c r="A27" s="222" t="s">
        <v>80</v>
      </c>
      <c r="B27" s="223" t="n">
        <v>0</v>
      </c>
      <c r="C27" s="224" t="n">
        <v>0.5</v>
      </c>
      <c r="D27" s="225" t="str">
        <f aca="false">IF(ISERROR(VLOOKUP($A27,'[1]liste reference'!$A$7:$D$892,2,0)),IF(ISERROR(VLOOKUP($A27,'[1]liste reference'!$B$7:$D$892,1,0)),"",VLOOKUP($A27,'[1]liste reference'!$B$7:$D$892,1,0)),VLOOKUP($A27,'[1]liste reference'!$A$7:$D$892,2,0))</f>
        <v>Cinclidotus riparius</v>
      </c>
      <c r="E27" s="225" t="e">
        <f aca="false">IF(D27="",0,VLOOKUP(D27,D$22:D26,1,0))</f>
        <v>#N/A</v>
      </c>
      <c r="F27" s="226" t="n">
        <f aca="false">($B27*$B$7+$C27*$C$7)/100</f>
        <v>0.025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Cinclidotus riparius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1321</v>
      </c>
      <c r="Q27" s="215" t="n">
        <f aca="false">IF(ISTEXT(H27),"",(B27*$B$7/100)+(C27*$C$7/100))</f>
        <v>0.025</v>
      </c>
      <c r="R27" s="216" t="n">
        <f aca="false">IF(OR(ISTEXT(H27),Q27=0),"",IF(Q27&lt;0.1,1,IF(Q27&lt;1,2,IF(Q27&lt;10,3,IF(Q27&lt;50,4,IF(Q27&gt;=50,5,""))))))</f>
        <v>1</v>
      </c>
      <c r="S27" s="216" t="n">
        <f aca="false">IF(ISERROR(R27*I27),0,R27*I27)</f>
        <v>13</v>
      </c>
      <c r="T27" s="216" t="n">
        <f aca="false">IF(ISERROR(R27*I27*J27),0,R27*I27*J27)</f>
        <v>26</v>
      </c>
      <c r="U27" s="230" t="n">
        <f aca="false">IF(ISERROR(R27*J27),0,R27*J27)</f>
        <v>2</v>
      </c>
      <c r="V27" s="217" t="n">
        <v>2</v>
      </c>
      <c r="W27" s="218"/>
      <c r="Y27" s="219" t="str">
        <f aca="false">IF(A27="new.cod","NEWCOD",IF(AND((Z27=""),ISTEXT(A27)),A27,IF(Z27="","",INDEX('[1]liste reference'!$A$7:$A$892,Z27))))</f>
        <v>CINRIP</v>
      </c>
      <c r="Z27" s="10" t="n">
        <f aca="false">IF(ISERROR(MATCH(A27,'[1]liste reference'!$A$7:$A$892,0)),IF(ISERROR(MATCH(A27,'[1]liste reference'!$B$7:$B$892,0)),"",(MATCH(A27,'[1]liste reference'!$B$7:$B$892,0))),(MATCH(A27,'[1]liste reference'!$A$7:$A$892,0)))</f>
        <v>177</v>
      </c>
      <c r="AA27" s="220"/>
      <c r="AB27" s="221"/>
      <c r="AC27" s="221"/>
      <c r="BC27" s="10" t="n">
        <f aca="false">IF(A27="","",1)</f>
        <v>1</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ISERE</v>
      </c>
      <c r="B84" s="253" t="str">
        <f aca="false">C3</f>
        <v>Isère à St Gervais</v>
      </c>
      <c r="C84" s="254" t="n">
        <f aca="false">A4</f>
        <v>41176</v>
      </c>
      <c r="D84" s="255" t="n">
        <f aca="false">IF(ISERROR(SUM($T$23:$T$82)/SUM($U$23:$U$82)),"",SUM($T$23:$T$82)/SUM($U$23:$U$82))</f>
        <v>11</v>
      </c>
      <c r="E84" s="256" t="n">
        <f aca="false">N13</f>
        <v>5</v>
      </c>
      <c r="F84" s="253" t="n">
        <f aca="false">N14</f>
        <v>5</v>
      </c>
      <c r="G84" s="253" t="n">
        <f aca="false">N15</f>
        <v>1</v>
      </c>
      <c r="H84" s="253" t="n">
        <f aca="false">N16</f>
        <v>4</v>
      </c>
      <c r="I84" s="253" t="n">
        <f aca="false">N17</f>
        <v>0</v>
      </c>
      <c r="J84" s="257" t="n">
        <f aca="false">N8</f>
        <v>10.6</v>
      </c>
      <c r="K84" s="255" t="n">
        <f aca="false">N9</f>
        <v>4.27784992724149</v>
      </c>
      <c r="L84" s="256" t="n">
        <f aca="false">N10</f>
        <v>6</v>
      </c>
      <c r="M84" s="256" t="n">
        <f aca="false">N11</f>
        <v>15</v>
      </c>
      <c r="N84" s="255" t="n">
        <f aca="false">O8</f>
        <v>1.8</v>
      </c>
      <c r="O84" s="255" t="n">
        <f aca="false">O9</f>
        <v>0.447213595499958</v>
      </c>
      <c r="P84" s="256" t="n">
        <f aca="false">O10</f>
        <v>1</v>
      </c>
      <c r="Q84" s="256" t="n">
        <f aca="false">O11</f>
        <v>2</v>
      </c>
      <c r="R84" s="256" t="n">
        <f aca="false">F21</f>
        <v>0.980290886899919</v>
      </c>
      <c r="S84" s="256" t="n">
        <f aca="false">K11</f>
        <v>0</v>
      </c>
      <c r="T84" s="256" t="n">
        <f aca="false">K12</f>
        <v>3</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82</v>
      </c>
      <c r="R86" s="10"/>
      <c r="S86" s="217"/>
      <c r="T86" s="10"/>
      <c r="U86" s="10"/>
      <c r="V86" s="10"/>
    </row>
    <row r="87" customFormat="false" ht="12.75" hidden="true" customHeight="false" outlineLevel="0" collapsed="false">
      <c r="P87" s="10"/>
      <c r="Q87" s="10" t="s">
        <v>83</v>
      </c>
      <c r="R87" s="10"/>
      <c r="S87" s="217" t="n">
        <f aca="false">VLOOKUP(MAX($S$23:$S$82),($S$23:$U$82),1,0)</f>
        <v>26</v>
      </c>
      <c r="T87" s="10"/>
      <c r="U87" s="10"/>
      <c r="V87" s="10"/>
    </row>
    <row r="88" customFormat="false" ht="12.75" hidden="true" customHeight="false" outlineLevel="0" collapsed="false">
      <c r="P88" s="10"/>
      <c r="Q88" s="10" t="s">
        <v>84</v>
      </c>
      <c r="R88" s="10"/>
      <c r="S88" s="217" t="n">
        <f aca="false">VLOOKUP((S87),($S$23:$U$82),2,0)</f>
        <v>52</v>
      </c>
      <c r="T88" s="10"/>
      <c r="U88" s="10"/>
      <c r="V88" s="10"/>
    </row>
    <row r="89" customFormat="false" ht="12.75" hidden="false" customHeight="false" outlineLevel="0" collapsed="false">
      <c r="Q89" s="10" t="s">
        <v>85</v>
      </c>
      <c r="R89" s="10"/>
      <c r="S89" s="217" t="n">
        <f aca="false">VLOOKUP((S87),($S$23:$U$82),3,0)</f>
        <v>4</v>
      </c>
      <c r="T89" s="10"/>
    </row>
    <row r="90" customFormat="false" ht="12.75" hidden="false" customHeight="false" outlineLevel="0" collapsed="false">
      <c r="Q90" s="10" t="s">
        <v>86</v>
      </c>
      <c r="R90" s="10"/>
      <c r="S90" s="262" t="n">
        <f aca="false">IF(ISERROR(SUM($T$23:$T$82)/SUM($U$23:$U$82)),"",(SUM($T$23:$T$82)-S88)/(SUM($U$23:$U$82)-S89))</f>
        <v>10</v>
      </c>
      <c r="T90" s="10"/>
    </row>
    <row r="91" customFormat="false" ht="12.75" hidden="false" customHeight="false" outlineLevel="0" collapsed="false">
      <c r="Q91" s="216" t="s">
        <v>87</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88</v>
      </c>
      <c r="R92" s="10"/>
      <c r="S92" s="10" t="n">
        <f aca="false">MATCH(S87,$S$23:$S$82,0)</f>
        <v>3</v>
      </c>
      <c r="T92" s="10"/>
    </row>
    <row r="93" customFormat="false" ht="12.75" hidden="false" customHeight="false" outlineLevel="0" collapsed="false">
      <c r="Q93" s="216" t="s">
        <v>89</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2013-01-28T13:44:23Z</dcterms:created>
  <dc:creator> </dc:creator>
  <dc:description/>
  <dc:language>fr-FR</dc:language>
  <cp:lastModifiedBy> </cp:lastModifiedBy>
  <dcterms:modified xsi:type="dcterms:W3CDTF">2013-01-28T13:44:25Z</dcterms:modified>
  <cp:revision>0</cp:revision>
  <dc:subject/>
  <dc:title/>
</cp:coreProperties>
</file>