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<sst xmlns="http://schemas.openxmlformats.org/spreadsheetml/2006/main" count="113" uniqueCount="109">
  <si>
    <t xml:space="preserve">Relevés floristiques aquatiques - IBMR</t>
  </si>
  <si>
    <t xml:space="preserve">Formulaire modèle GIS Macrophytes v_2.6 - février 2012</t>
  </si>
  <si>
    <t xml:space="preserve">SAGE</t>
  </si>
  <si>
    <t xml:space="preserve">BOURGOIN BERNARD</t>
  </si>
  <si>
    <t xml:space="preserve">conforme AFNOR T90-395 oct. 2003</t>
  </si>
  <si>
    <t xml:space="preserve">Bourne</t>
  </si>
  <si>
    <t xml:space="preserve">Bourne à Villard de Lans</t>
  </si>
  <si>
    <t xml:space="preserve">06147525</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</si>
  <si>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</si>
  <si>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</si>
  <si>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</si>
  <si>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</si>
  <si>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</si>
  <si>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</si>
  <si>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</si>
  <si>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</si>
  <si>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</si>
  <si>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</si>
  <si>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</si>
  <si>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</si>
  <si>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</si>
  <si>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</si>
  <si>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</si>
  <si>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</si>
  <si>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</si>
  <si>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</si>
  <si>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</si>
  <si>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</si>
  <si>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</si>
  <si>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</si>
  <si>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</si>
  <si>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</si>
  <si>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</si>
  <si>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</si>
  <si>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</si>
  <si>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</si>
  <si>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</si>
  <si>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</si>
  <si>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</si>
  <si>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</si>
  <si>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</si>
  <si>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</si>
  <si>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</si>
  <si>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</si>
  <si>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</si>
  <si>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</si>
  <si>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</si>
  <si>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</si>
  <si>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</si>
  <si>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</si>
  <si>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</si>
  <si>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</si>
  <si>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</si>
  <si>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</si>
  <si>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</si>
  <si>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</si>
  <si>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</si>
  <si>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</si>
  <si>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</si>
  <si>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</si>
  <si>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</si>
  <si>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</si>
  <si>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</si>
  <si>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</si>
  <si>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</si>
  <si>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</si>
  <si>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</si>
  <si>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</si>
  <si>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</si>
  <si>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</si>
  <si>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</si>
  <si>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</si>
  <si>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</si>
  <si>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</si>
  <si>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</si>
  <si>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</si>
  <si>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</si>
  <si>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</si>
  <si>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</si>
  <si>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VAUSPX</t>
  </si>
  <si>
    <t xml:space="preserve">AMBRIP</t>
  </si>
  <si>
    <t xml:space="preserve">CINRIP</t>
  </si>
  <si>
    <t xml:space="preserve">CRAFIL</t>
  </si>
  <si>
    <t xml:space="preserve">FONANT</t>
  </si>
  <si>
    <t xml:space="preserve">RHYRIP</t>
  </si>
  <si>
    <t xml:space="preserve">GRODEN</t>
  </si>
  <si>
    <t xml:space="preserve">RANTRI</t>
  </si>
  <si>
    <t xml:space="preserve">SPAEMC</t>
  </si>
  <si>
    <t xml:space="preserve">BERERE</t>
  </si>
  <si>
    <t xml:space="preserve">CAHPAL</t>
  </si>
  <si>
    <t xml:space="preserve">CARSPX</t>
  </si>
  <si>
    <t xml:space="preserve">GLYFLU</t>
  </si>
  <si>
    <t xml:space="preserve">MENSPX</t>
  </si>
  <si>
    <t xml:space="preserve">SCISYL</t>
  </si>
  <si>
    <t xml:space="preserve">VERANA</t>
  </si>
  <si>
    <t xml:space="preserve">EPIHIR</t>
  </si>
  <si>
    <t xml:space="preserve">FILULM</t>
  </si>
  <si>
    <t xml:space="preserve">newcod</t>
  </si>
  <si>
    <t xml:space="preserve">Salix purpurea</t>
  </si>
  <si>
    <t xml:space="preserve">Salix fragilis</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</si>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</sst>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BOVIL_16-07-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41106</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11.3333333333333</v>
      </c>
      <c r="M5" s="53"/>
      <c r="N5" s="54"/>
      <c r="O5" s="55" t="n">
        <v>11.4736842105263</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90</v>
      </c>
      <c r="C7" s="67" t="n">
        <v>10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10.8571428571429</v>
      </c>
      <c r="O8" s="83" t="n">
        <f aca="false">AVERAGE(J23:J82)</f>
        <v>1.78571428571429</v>
      </c>
      <c r="P8" s="84"/>
      <c r="Q8" s="10"/>
      <c r="R8" s="10"/>
      <c r="S8" s="10"/>
      <c r="T8" s="10"/>
      <c r="U8" s="10"/>
      <c r="V8" s="10"/>
      <c r="W8" s="22"/>
      <c r="X8" s="23"/>
    </row>
    <row r="9" customFormat="false" ht="13.5" hidden="false" customHeight="false" outlineLevel="0" collapsed="false">
      <c r="A9" s="43" t="s">
        <v>28</v>
      </c>
      <c r="B9" s="85" t="n">
        <v>28.19</v>
      </c>
      <c r="C9" s="86" t="n">
        <v>27.35</v>
      </c>
      <c r="D9" s="87"/>
      <c r="E9" s="87"/>
      <c r="F9" s="88" t="n">
        <f aca="false">($B9*$B$7+$C9*$C$7)/100</f>
        <v>28.106</v>
      </c>
      <c r="G9" s="89"/>
      <c r="H9" s="90"/>
      <c r="I9" s="91"/>
      <c r="J9" s="92"/>
      <c r="K9" s="73"/>
      <c r="L9" s="93"/>
      <c r="M9" s="82" t="s">
        <v>29</v>
      </c>
      <c r="N9" s="83" t="n">
        <f aca="false">STDEV(I23:I82)</f>
        <v>3.79994216265991</v>
      </c>
      <c r="O9" s="83" t="n">
        <f aca="false">STDEV(J23:J82)</f>
        <v>0.57893422352184</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t="n">
        <v>0.21</v>
      </c>
      <c r="C11" s="109"/>
      <c r="D11" s="110"/>
      <c r="E11" s="110"/>
      <c r="F11" s="111" t="n">
        <f aca="false">($B11*$B$7+$C11*$C$7)/100</f>
        <v>0.189</v>
      </c>
      <c r="G11" s="112"/>
      <c r="H11" s="68"/>
      <c r="I11" s="113" t="s">
        <v>34</v>
      </c>
      <c r="J11" s="113"/>
      <c r="K11" s="114" t="n">
        <f aca="false">COUNTIF($G$23:$G$82,"=HET")</f>
        <v>0</v>
      </c>
      <c r="L11" s="115"/>
      <c r="M11" s="104" t="s">
        <v>35</v>
      </c>
      <c r="N11" s="105" t="n">
        <f aca="false">MAX(I23:I82)</f>
        <v>18</v>
      </c>
      <c r="O11" s="105" t="n">
        <f aca="false">MAX(J23:J82)</f>
        <v>3</v>
      </c>
      <c r="P11" s="106"/>
      <c r="Q11" s="10"/>
      <c r="R11" s="10"/>
      <c r="S11" s="10"/>
      <c r="T11" s="10"/>
      <c r="U11" s="10"/>
      <c r="V11" s="10"/>
    </row>
    <row r="12" customFormat="false" ht="12.75" hidden="false" customHeight="false" outlineLevel="0" collapsed="false">
      <c r="A12" s="116" t="s">
        <v>36</v>
      </c>
      <c r="B12" s="117" t="n">
        <v>25.02</v>
      </c>
      <c r="C12" s="118" t="n">
        <v>25</v>
      </c>
      <c r="D12" s="110"/>
      <c r="E12" s="110"/>
      <c r="F12" s="111" t="n">
        <f aca="false">($B12*$B$7+$C12*$C$7)/100</f>
        <v>25.018</v>
      </c>
      <c r="G12" s="119"/>
      <c r="H12" s="68"/>
      <c r="I12" s="120" t="s">
        <v>37</v>
      </c>
      <c r="J12" s="120"/>
      <c r="K12" s="114" t="n">
        <f aca="false">COUNTIF($G$23:$G$82,"=ALG")</f>
        <v>2</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c r="D13" s="110"/>
      <c r="E13" s="110"/>
      <c r="F13" s="111" t="n">
        <f aca="false">($B13*$B$7+$C13*$C$7)/100</f>
        <v>0</v>
      </c>
      <c r="G13" s="119"/>
      <c r="H13" s="68"/>
      <c r="I13" s="120" t="s">
        <v>39</v>
      </c>
      <c r="J13" s="120"/>
      <c r="K13" s="114" t="n">
        <f aca="false">COUNTIF($G$23:$G$82,"=BRm")+COUNTIF($G$23:$G$82,"=BRh")</f>
        <v>5</v>
      </c>
      <c r="L13" s="115"/>
      <c r="M13" s="126" t="s">
        <v>40</v>
      </c>
      <c r="N13" s="127" t="n">
        <f aca="false">COUNTIF(F23:F82,"&gt;0")</f>
        <v>21</v>
      </c>
      <c r="O13" s="128"/>
      <c r="P13" s="129"/>
      <c r="Q13" s="10"/>
      <c r="R13" s="10"/>
      <c r="S13" s="10"/>
      <c r="T13" s="10"/>
      <c r="U13" s="10"/>
      <c r="V13" s="10"/>
    </row>
    <row r="14" customFormat="false" ht="12.75" hidden="false" customHeight="false" outlineLevel="0" collapsed="false">
      <c r="A14" s="116" t="s">
        <v>41</v>
      </c>
      <c r="B14" s="117" t="n">
        <v>2.96</v>
      </c>
      <c r="C14" s="118" t="n">
        <v>2.35</v>
      </c>
      <c r="D14" s="110"/>
      <c r="E14" s="110"/>
      <c r="F14" s="111" t="n">
        <f aca="false">($B14*$B$7+$C14*$C$7)/100</f>
        <v>2.899</v>
      </c>
      <c r="G14" s="119"/>
      <c r="H14" s="68"/>
      <c r="I14" s="120" t="s">
        <v>42</v>
      </c>
      <c r="J14" s="120"/>
      <c r="K14" s="114" t="n">
        <f aca="false">COUNTIF($G$23:$G$82,"=PTE")+COUNTIF($G$23:$G$82,"=LIC")</f>
        <v>0</v>
      </c>
      <c r="L14" s="115"/>
      <c r="M14" s="130" t="s">
        <v>43</v>
      </c>
      <c r="N14" s="131" t="n">
        <f aca="false">COUNTIF($I$23:$I$82,"&gt;-1")</f>
        <v>14</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12</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t="n">
        <v>2.5</v>
      </c>
      <c r="C16" s="109" t="n">
        <v>2</v>
      </c>
      <c r="D16" s="139"/>
      <c r="E16" s="139"/>
      <c r="F16" s="140"/>
      <c r="G16" s="140" t="n">
        <f aca="false">($B16*$B$7+$C16*$C$7)/100</f>
        <v>2.45</v>
      </c>
      <c r="H16" s="68"/>
      <c r="I16" s="120"/>
      <c r="J16" s="141"/>
      <c r="K16" s="141"/>
      <c r="L16" s="115"/>
      <c r="M16" s="136" t="s">
        <v>48</v>
      </c>
      <c r="N16" s="137" t="n">
        <f aca="false">COUNTIF(J23:J82,"=2")</f>
        <v>9</v>
      </c>
      <c r="O16" s="138"/>
      <c r="P16" s="129"/>
      <c r="Q16" s="10"/>
      <c r="R16" s="10"/>
      <c r="S16" s="10"/>
      <c r="T16" s="10"/>
      <c r="U16" s="10"/>
      <c r="V16" s="10"/>
    </row>
    <row r="17" customFormat="false" ht="12.75" hidden="false" customHeight="false" outlineLevel="0" collapsed="false">
      <c r="A17" s="116" t="s">
        <v>49</v>
      </c>
      <c r="B17" s="117" t="n">
        <v>25.41</v>
      </c>
      <c r="C17" s="118" t="n">
        <v>25</v>
      </c>
      <c r="D17" s="110"/>
      <c r="E17" s="110"/>
      <c r="F17" s="142"/>
      <c r="G17" s="111" t="n">
        <f aca="false">($B17*$B$7+$C17*$C$7)/100</f>
        <v>25.369</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t="n">
        <v>0.06</v>
      </c>
      <c r="C18" s="145" t="n">
        <v>0.35</v>
      </c>
      <c r="D18" s="110"/>
      <c r="E18" s="146" t="s">
        <v>52</v>
      </c>
      <c r="F18" s="142"/>
      <c r="G18" s="111" t="n">
        <f aca="false">($B18*$B$7+$C18*$C$7)/100</f>
        <v>0.089</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28.106</v>
      </c>
      <c r="G19" s="155" t="n">
        <f aca="false">SUM(G16:G18)</f>
        <v>27.908</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28.18</v>
      </c>
      <c r="C20" s="165" t="n">
        <f aca="false">SUM(C23:C82)</f>
        <v>27.35</v>
      </c>
      <c r="D20" s="166"/>
      <c r="E20" s="167" t="s">
        <v>52</v>
      </c>
      <c r="F20" s="168" t="n">
        <f aca="false">($B20*$B$7+$C20*$C$7)/100</f>
        <v>28.097</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25.362</v>
      </c>
      <c r="C21" s="178" t="n">
        <f aca="false">C20*C7/100</f>
        <v>2.735</v>
      </c>
      <c r="D21" s="110" t="str">
        <f aca="false">IF(F21=0,"",IF((ABS(F21-F19))&gt;(0.2*F21),CONCATENATE(" rec. par taxa (",F21," %) supérieur à 20 % !"),""))</f>
        <v/>
      </c>
      <c r="E21" s="179" t="str">
        <f aca="false">IF(F21=0,"",IF((ABS(F21-F19))&gt;(0.2*F21),CONCATENATE("ATTENTION : écart entre rec. par grp (",F19," %) ","et",""),""))</f>
        <v/>
      </c>
      <c r="F21" s="180" t="n">
        <f aca="false">B21+C21</f>
        <v>28.097</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0.01</v>
      </c>
      <c r="C23" s="205" t="n">
        <v>0</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0.009</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0.009</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t="n">
        <v>0.2</v>
      </c>
      <c r="C24" s="224" t="n">
        <v>0</v>
      </c>
      <c r="D24" s="225" t="str">
        <f aca="false">IF(ISERROR(VLOOKUP($A24,'[1]liste reference'!$A$7:$D$892,2,0)),IF(ISERROR(VLOOKUP($A24,'[1]liste reference'!$B$7:$D$892,1,0)),"",VLOOKUP($A24,'[1]liste reference'!$B$7:$D$892,1,0)),VLOOKUP($A24,'[1]liste reference'!$A$7:$D$892,2,0))</f>
        <v>Vaucheria sp.</v>
      </c>
      <c r="E24" s="225" t="e">
        <f aca="false">IF(D24="",0,VLOOKUP(D24,D$22:D23,1,0))</f>
        <v>#N/A</v>
      </c>
      <c r="F24" s="226" t="n">
        <f aca="false">($B24*$B$7+$C24*$C$7)/100</f>
        <v>0.18</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4</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Vaucheria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6193</v>
      </c>
      <c r="Q24" s="215" t="n">
        <f aca="false">IF(ISTEXT(H24),"",(B24*$B$7/100)+(C24*$C$7/100))</f>
        <v>0.18</v>
      </c>
      <c r="R24" s="216" t="n">
        <f aca="false">IF(OR(ISTEXT(H24),Q24=0),"",IF(Q24&lt;0.1,1,IF(Q24&lt;1,2,IF(Q24&lt;10,3,IF(Q24&lt;50,4,IF(Q24&gt;=50,5,""))))))</f>
        <v>2</v>
      </c>
      <c r="S24" s="216" t="n">
        <f aca="false">IF(ISERROR(R24*I24),0,R24*I24)</f>
        <v>8</v>
      </c>
      <c r="T24" s="216" t="n">
        <f aca="false">IF(ISERROR(R24*I24*J24),0,R24*I24*J24)</f>
        <v>8</v>
      </c>
      <c r="U24" s="230" t="n">
        <f aca="false">IF(ISERROR(R24*J24),0,R24*J24)</f>
        <v>2</v>
      </c>
      <c r="V24" s="217" t="n">
        <v>2</v>
      </c>
      <c r="W24" s="231"/>
      <c r="Y24" s="219" t="str">
        <f aca="false">IF(A24="new.cod","NEWCOD",IF(AND((Z24=""),ISTEXT(A24)),A24,IF(Z24="","",INDEX('[1]liste reference'!$A$7:$A$892,Z24))))</f>
        <v>VAUSPX</v>
      </c>
      <c r="Z24" s="10" t="n">
        <f aca="false">IF(ISERROR(MATCH(A24,'[1]liste reference'!$A$7:$A$892,0)),IF(ISERROR(MATCH(A24,'[1]liste reference'!$B$7:$B$892,0)),"",(MATCH(A24,'[1]liste reference'!$B$7:$B$892,0))),(MATCH(A24,'[1]liste reference'!$A$7:$A$892,0)))</f>
        <v>864</v>
      </c>
      <c r="AA24" s="220"/>
      <c r="AB24" s="221"/>
      <c r="AC24" s="221"/>
      <c r="BC24" s="10" t="n">
        <f aca="false">IF(A24="","",1)</f>
        <v>1</v>
      </c>
    </row>
    <row r="25" customFormat="false" ht="12.75" hidden="false" customHeight="false" outlineLevel="0" collapsed="false">
      <c r="A25" s="222" t="s">
        <v>80</v>
      </c>
      <c r="B25" s="223" t="n">
        <v>0.2</v>
      </c>
      <c r="C25" s="224" t="n">
        <v>0</v>
      </c>
      <c r="D25" s="225" t="str">
        <f aca="false">IF(ISERROR(VLOOKUP($A25,'[1]liste reference'!$A$7:$D$892,2,0)),IF(ISERROR(VLOOKUP($A25,'[1]liste reference'!$B$7:$D$892,1,0)),"",VLOOKUP($A25,'[1]liste reference'!$B$7:$D$892,1,0)),VLOOKUP($A25,'[1]liste reference'!$A$7:$D$892,2,0))</f>
        <v>Amblystegium riparium</v>
      </c>
      <c r="E25" s="225" t="e">
        <f aca="false">IF(D25="",0,VLOOKUP(D25,D$22:D24,1,0))</f>
        <v>#N/A</v>
      </c>
      <c r="F25" s="226" t="n">
        <f aca="false">($B25*$B$7+$C25*$C$7)/100</f>
        <v>0.18</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5</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Amblystegium riparium</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1219</v>
      </c>
      <c r="Q25" s="215" t="n">
        <f aca="false">IF(ISTEXT(H25),"",(B25*$B$7/100)+(C25*$C$7/100))</f>
        <v>0.18</v>
      </c>
      <c r="R25" s="216" t="n">
        <f aca="false">IF(OR(ISTEXT(H25),Q25=0),"",IF(Q25&lt;0.1,1,IF(Q25&lt;1,2,IF(Q25&lt;10,3,IF(Q25&lt;50,4,IF(Q25&gt;=50,5,""))))))</f>
        <v>2</v>
      </c>
      <c r="S25" s="216" t="n">
        <f aca="false">IF(ISERROR(R25*I25),0,R25*I25)</f>
        <v>10</v>
      </c>
      <c r="T25" s="216" t="n">
        <f aca="false">IF(ISERROR(R25*I25*J25),0,R25*I25*J25)</f>
        <v>20</v>
      </c>
      <c r="U25" s="230" t="n">
        <f aca="false">IF(ISERROR(R25*J25),0,R25*J25)</f>
        <v>4</v>
      </c>
      <c r="V25" s="217" t="n">
        <v>4</v>
      </c>
      <c r="W25" s="218"/>
      <c r="Y25" s="219" t="str">
        <f aca="false">IF(A25="new.cod","NEWCOD",IF(AND((Z25=""),ISTEXT(A25)),A25,IF(Z25="","",INDEX('[1]liste reference'!$A$7:$A$892,Z25))))</f>
        <v>AMBRIP</v>
      </c>
      <c r="Z25" s="10" t="n">
        <f aca="false">IF(ISERROR(MATCH(A25,'[1]liste reference'!$A$7:$A$892,0)),IF(ISERROR(MATCH(A25,'[1]liste reference'!$B$7:$B$892,0)),"",(MATCH(A25,'[1]liste reference'!$B$7:$B$892,0))),(MATCH(A25,'[1]liste reference'!$A$7:$A$892,0)))</f>
        <v>24</v>
      </c>
      <c r="AA25" s="220"/>
      <c r="AB25" s="221"/>
      <c r="AC25" s="221"/>
      <c r="BC25" s="10" t="n">
        <f aca="false">IF(A25="","",1)</f>
        <v>1</v>
      </c>
    </row>
    <row r="26" customFormat="false" ht="12.75" hidden="false" customHeight="false" outlineLevel="0" collapsed="false">
      <c r="A26" s="222" t="s">
        <v>81</v>
      </c>
      <c r="B26" s="223" t="n">
        <v>0.01</v>
      </c>
      <c r="C26" s="224" t="n">
        <v>0</v>
      </c>
      <c r="D26" s="225" t="str">
        <f aca="false">IF(ISERROR(VLOOKUP($A26,'[1]liste reference'!$A$7:$D$892,2,0)),IF(ISERROR(VLOOKUP($A26,'[1]liste reference'!$B$7:$D$892,1,0)),"",VLOOKUP($A26,'[1]liste reference'!$B$7:$D$892,1,0)),VLOOKUP($A26,'[1]liste reference'!$A$7:$D$892,2,0))</f>
        <v>Cinclidotus riparius</v>
      </c>
      <c r="E26" s="225" t="e">
        <f aca="false">IF(D26="",0,VLOOKUP(D26,D$22:D25,1,0))</f>
        <v>#N/A</v>
      </c>
      <c r="F26" s="226" t="n">
        <f aca="false">($B26*$B$7+$C26*$C$7)/100</f>
        <v>0.009</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Cinclidotus riparius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1321</v>
      </c>
      <c r="Q26" s="215" t="n">
        <f aca="false">IF(ISTEXT(H26),"",(B26*$B$7/100)+(C26*$C$7/100))</f>
        <v>0.009</v>
      </c>
      <c r="R26" s="216" t="n">
        <f aca="false">IF(OR(ISTEXT(H26),Q26=0),"",IF(Q26&lt;0.1,1,IF(Q26&lt;1,2,IF(Q26&lt;10,3,IF(Q26&lt;50,4,IF(Q26&gt;=50,5,""))))))</f>
        <v>1</v>
      </c>
      <c r="S26" s="216" t="n">
        <f aca="false">IF(ISERROR(R26*I26),0,R26*I26)</f>
        <v>13</v>
      </c>
      <c r="T26" s="216" t="n">
        <f aca="false">IF(ISERROR(R26*I26*J26),0,R26*I26*J26)</f>
        <v>26</v>
      </c>
      <c r="U26" s="230" t="n">
        <f aca="false">IF(ISERROR(R26*J26),0,R26*J26)</f>
        <v>2</v>
      </c>
      <c r="V26" s="217" t="n">
        <v>2</v>
      </c>
      <c r="W26" s="218"/>
      <c r="Y26" s="219" t="str">
        <f aca="false">IF(A26="new.cod","NEWCOD",IF(AND((Z26=""),ISTEXT(A26)),A26,IF(Z26="","",INDEX('[1]liste reference'!$A$7:$A$892,Z26))))</f>
        <v>CINRIP</v>
      </c>
      <c r="Z26" s="10" t="n">
        <f aca="false">IF(ISERROR(MATCH(A26,'[1]liste reference'!$A$7:$A$892,0)),IF(ISERROR(MATCH(A26,'[1]liste reference'!$B$7:$B$892,0)),"",(MATCH(A26,'[1]liste reference'!$B$7:$B$892,0))),(MATCH(A26,'[1]liste reference'!$A$7:$A$892,0)))</f>
        <v>177</v>
      </c>
      <c r="AA26" s="220"/>
      <c r="AB26" s="221"/>
      <c r="AC26" s="221"/>
      <c r="BC26" s="10" t="n">
        <f aca="false">IF(A26="","",1)</f>
        <v>1</v>
      </c>
    </row>
    <row r="27" customFormat="false" ht="12.75" hidden="false" customHeight="false" outlineLevel="0" collapsed="false">
      <c r="A27" s="222" t="s">
        <v>82</v>
      </c>
      <c r="B27" s="223" t="n">
        <v>0.19</v>
      </c>
      <c r="C27" s="224" t="n">
        <v>0</v>
      </c>
      <c r="D27" s="225" t="str">
        <f aca="false">IF(ISERROR(VLOOKUP($A27,'[1]liste reference'!$A$7:$D$892,2,0)),IF(ISERROR(VLOOKUP($A27,'[1]liste reference'!$B$7:$D$892,1,0)),"",VLOOKUP($A27,'[1]liste reference'!$B$7:$D$892,1,0)),VLOOKUP($A27,'[1]liste reference'!$A$7:$D$892,2,0))</f>
        <v>Cratoneuron filicinum</v>
      </c>
      <c r="E27" s="225" t="e">
        <f aca="false">IF(D27="",0,VLOOKUP(D27,D$22:D26,1,0))</f>
        <v>#N/A</v>
      </c>
      <c r="F27" s="226" t="n">
        <f aca="false">($B27*$B$7+$C27*$C$7)/100</f>
        <v>0.171</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18</v>
      </c>
      <c r="J27" s="211" t="n">
        <f aca="false">IF(ISNUMBER(H27),IF(ISERROR(VLOOKUP($A27,'[1]liste reference'!$A$7:$P$892,4,0)),IF(ISERROR(VLOOKUP($A27,'[1]liste reference'!$B$7:$P$892,3,0)),"",VLOOKUP($A27,'[1]liste reference'!$B$7:$P$892,3,0)),VLOOKUP($A27,'[1]liste reference'!$A$7:$P$892,4,0)),"")</f>
        <v>3</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Cratoneuron filicinum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1233</v>
      </c>
      <c r="Q27" s="215" t="n">
        <f aca="false">IF(ISTEXT(H27),"",(B27*$B$7/100)+(C27*$C$7/100))</f>
        <v>0.171</v>
      </c>
      <c r="R27" s="216" t="n">
        <f aca="false">IF(OR(ISTEXT(H27),Q27=0),"",IF(Q27&lt;0.1,1,IF(Q27&lt;1,2,IF(Q27&lt;10,3,IF(Q27&lt;50,4,IF(Q27&gt;=50,5,""))))))</f>
        <v>2</v>
      </c>
      <c r="S27" s="216" t="n">
        <f aca="false">IF(ISERROR(R27*I27),0,R27*I27)</f>
        <v>36</v>
      </c>
      <c r="T27" s="216" t="n">
        <f aca="false">IF(ISERROR(R27*I27*J27),0,R27*I27*J27)</f>
        <v>108</v>
      </c>
      <c r="U27" s="230" t="n">
        <f aca="false">IF(ISERROR(R27*J27),0,R27*J27)</f>
        <v>6</v>
      </c>
      <c r="V27" s="217" t="n">
        <v>6</v>
      </c>
      <c r="W27" s="218"/>
      <c r="Y27" s="219" t="str">
        <f aca="false">IF(A27="new.cod","NEWCOD",IF(AND((Z27=""),ISTEXT(A27)),A27,IF(Z27="","",INDEX('[1]liste reference'!$A$7:$A$892,Z27))))</f>
        <v>CRAFIL</v>
      </c>
      <c r="Z27" s="10" t="n">
        <f aca="false">IF(ISERROR(MATCH(A27,'[1]liste reference'!$A$7:$A$892,0)),IF(ISERROR(MATCH(A27,'[1]liste reference'!$B$7:$B$892,0)),"",(MATCH(A27,'[1]liste reference'!$B$7:$B$892,0))),(MATCH(A27,'[1]liste reference'!$A$7:$A$892,0)))</f>
        <v>193</v>
      </c>
      <c r="AA27" s="220"/>
      <c r="AB27" s="221"/>
      <c r="AC27" s="221"/>
      <c r="BC27" s="10" t="n">
        <f aca="false">IF(A27="","",1)</f>
        <v>1</v>
      </c>
    </row>
    <row r="28" customFormat="false" ht="12.75" hidden="false" customHeight="false" outlineLevel="0" collapsed="false">
      <c r="A28" s="222" t="s">
        <v>83</v>
      </c>
      <c r="B28" s="223" t="n">
        <v>24.5</v>
      </c>
      <c r="C28" s="224" t="n">
        <v>25</v>
      </c>
      <c r="D28" s="225" t="str">
        <f aca="false">IF(ISERROR(VLOOKUP($A28,'[1]liste reference'!$A$7:$D$892,2,0)),IF(ISERROR(VLOOKUP($A28,'[1]liste reference'!$B$7:$D$892,1,0)),"",VLOOKUP($A28,'[1]liste reference'!$B$7:$D$892,1,0)),VLOOKUP($A28,'[1]liste reference'!$A$7:$D$892,2,0))</f>
        <v>Fontinalis antipyretica</v>
      </c>
      <c r="E28" s="225" t="e">
        <f aca="false">IF(D28="",0,VLOOKUP(D28,D$22:D27,1,0))</f>
        <v>#N/A</v>
      </c>
      <c r="F28" s="226" t="n">
        <f aca="false">($B28*$B$7+$C28*$C$7)/100</f>
        <v>24.55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Fontinalis antipyretica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v>
      </c>
      <c r="Q28" s="215" t="n">
        <f aca="false">IF(ISTEXT(H28),"",(B28*$B$7/100)+(C28*$C$7/100))</f>
        <v>24.55</v>
      </c>
      <c r="R28" s="216" t="n">
        <f aca="false">IF(OR(ISTEXT(H28),Q28=0),"",IF(Q28&lt;0.1,1,IF(Q28&lt;1,2,IF(Q28&lt;10,3,IF(Q28&lt;50,4,IF(Q28&gt;=50,5,""))))))</f>
        <v>4</v>
      </c>
      <c r="S28" s="216" t="n">
        <f aca="false">IF(ISERROR(R28*I28),0,R28*I28)</f>
        <v>40</v>
      </c>
      <c r="T28" s="216" t="n">
        <f aca="false">IF(ISERROR(R28*I28*J28),0,R28*I28*J28)</f>
        <v>40</v>
      </c>
      <c r="U28" s="230" t="n">
        <f aca="false">IF(ISERROR(R28*J28),0,R28*J28)</f>
        <v>4</v>
      </c>
      <c r="V28" s="217" t="n">
        <v>4</v>
      </c>
      <c r="W28" s="218"/>
      <c r="Y28" s="219" t="str">
        <f aca="false">IF(A28="new.cod","NEWCOD",IF(AND((Z28=""),ISTEXT(A28)),A28,IF(Z28="","",INDEX('[1]liste reference'!$A$7:$A$892,Z28))))</f>
        <v>FONANT</v>
      </c>
      <c r="Z28" s="10" t="n">
        <f aca="false">IF(ISERROR(MATCH(A28,'[1]liste reference'!$A$7:$A$892,0)),IF(ISERROR(MATCH(A28,'[1]liste reference'!$B$7:$B$892,0)),"",(MATCH(A28,'[1]liste reference'!$B$7:$B$892,0))),(MATCH(A28,'[1]liste reference'!$A$7:$A$892,0)))</f>
        <v>304</v>
      </c>
      <c r="AA28" s="220"/>
      <c r="AB28" s="221"/>
      <c r="AC28" s="221"/>
      <c r="BC28" s="10" t="n">
        <f aca="false">IF(A28="","",1)</f>
        <v>1</v>
      </c>
    </row>
    <row r="29" customFormat="false" ht="12.75" hidden="false" customHeight="false" outlineLevel="0" collapsed="false">
      <c r="A29" s="222" t="s">
        <v>84</v>
      </c>
      <c r="B29" s="223" t="n">
        <v>0.11</v>
      </c>
      <c r="C29" s="224" t="n">
        <v>0</v>
      </c>
      <c r="D29" s="225" t="str">
        <f aca="false">IF(ISERROR(VLOOKUP($A29,'[1]liste reference'!$A$7:$D$892,2,0)),IF(ISERROR(VLOOKUP($A29,'[1]liste reference'!$B$7:$D$892,1,0)),"",VLOOKUP($A29,'[1]liste reference'!$B$7:$D$892,1,0)),VLOOKUP($A29,'[1]liste reference'!$A$7:$D$892,2,0))</f>
        <v>Rhynchostegium riparioides</v>
      </c>
      <c r="E29" s="225" t="e">
        <f aca="false">IF(D29="",0,VLOOKUP(D29,D$22:D28,1,0))</f>
        <v>#N/A</v>
      </c>
      <c r="F29" s="226" t="n">
        <f aca="false">($B29*$B$7+$C29*$C$7)/100</f>
        <v>0.099</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Rhynchostegium riparioides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1268</v>
      </c>
      <c r="Q29" s="215" t="n">
        <f aca="false">IF(ISTEXT(H29),"",(B29*$B$7/100)+(C29*$C$7/100))</f>
        <v>0.099</v>
      </c>
      <c r="R29" s="216" t="n">
        <f aca="false">IF(OR(ISTEXT(H29),Q29=0),"",IF(Q29&lt;0.1,1,IF(Q29&lt;1,2,IF(Q29&lt;10,3,IF(Q29&lt;50,4,IF(Q29&gt;=50,5,""))))))</f>
        <v>1</v>
      </c>
      <c r="S29" s="216" t="n">
        <f aca="false">IF(ISERROR(R29*I29),0,R29*I29)</f>
        <v>12</v>
      </c>
      <c r="T29" s="216" t="n">
        <f aca="false">IF(ISERROR(R29*I29*J29),0,R29*I29*J29)</f>
        <v>12</v>
      </c>
      <c r="U29" s="230" t="n">
        <f aca="false">IF(ISERROR(R29*J29),0,R29*J29)</f>
        <v>1</v>
      </c>
      <c r="V29" s="217" t="n">
        <v>1</v>
      </c>
      <c r="W29" s="218"/>
      <c r="Y29" s="219" t="str">
        <f aca="false">IF(A29="new.cod","NEWCOD",IF(AND((Z29=""),ISTEXT(A29)),A29,IF(Z29="","",INDEX('[1]liste reference'!$A$7:$A$892,Z29))))</f>
        <v>RHYRIP</v>
      </c>
      <c r="Z29" s="10" t="n">
        <f aca="false">IF(ISERROR(MATCH(A29,'[1]liste reference'!$A$7:$A$892,0)),IF(ISERROR(MATCH(A29,'[1]liste reference'!$B$7:$B$892,0)),"",(MATCH(A29,'[1]liste reference'!$B$7:$B$892,0))),(MATCH(A29,'[1]liste reference'!$A$7:$A$892,0)))</f>
        <v>705</v>
      </c>
      <c r="AA29" s="220"/>
      <c r="AB29" s="221"/>
      <c r="AC29" s="221"/>
      <c r="BC29" s="10" t="n">
        <f aca="false">IF(A29="","",1)</f>
        <v>1</v>
      </c>
    </row>
    <row r="30" customFormat="false" ht="12.75" hidden="false" customHeight="false" outlineLevel="0" collapsed="false">
      <c r="A30" s="222" t="s">
        <v>85</v>
      </c>
      <c r="B30" s="223" t="n">
        <v>0.2</v>
      </c>
      <c r="C30" s="224" t="n">
        <v>0</v>
      </c>
      <c r="D30" s="225" t="str">
        <f aca="false">IF(ISERROR(VLOOKUP($A30,'[1]liste reference'!$A$7:$D$892,2,0)),IF(ISERROR(VLOOKUP($A30,'[1]liste reference'!$B$7:$D$892,1,0)),"",VLOOKUP($A30,'[1]liste reference'!$B$7:$D$892,1,0)),VLOOKUP($A30,'[1]liste reference'!$A$7:$D$892,2,0))</f>
        <v>Groenlandia densa</v>
      </c>
      <c r="E30" s="225" t="e">
        <f aca="false">IF(D30="",0,VLOOKUP(D30,D$22:D29,1,0))</f>
        <v>#N/A</v>
      </c>
      <c r="F30" s="226" t="n">
        <f aca="false">($B30*$B$7+$C30*$C$7)/100</f>
        <v>0.18</v>
      </c>
      <c r="G30" s="227" t="str">
        <f aca="false">IF(A30="","",IF(ISERROR(VLOOKUP($A30,'[1]liste reference'!$A$7:$P$892,13,0)),IF(ISERROR(VLOOKUP($A30,'[1]liste reference'!$B$7:$P$892,12,0)),"    -",VLOOKUP($A30,'[1]liste reference'!$B$7:$P$892,12,0)),VLOOKUP($A30,'[1]liste reference'!$A$7:$P$892,13,0)))</f>
        <v>PHy</v>
      </c>
      <c r="H30" s="209" t="n">
        <f aca="false">IF(A30="","x",IF(ISERROR(VLOOKUP($A30,'[1]liste reference'!$A$7:$P$892,14,0)),IF(ISERROR(VLOOKUP($A30,'[1]liste reference'!$B$7:$P$892,13,0)),"x",VLOOKUP($A30,'[1]liste reference'!$B$7:$P$892,13,0)),VLOOKUP($A30,'[1]liste reference'!$A$7:$P$892,14,0)))</f>
        <v>7</v>
      </c>
      <c r="I30" s="228" t="n">
        <f aca="false">IF(ISNUMBER(H30),IF(ISERROR(VLOOKUP($A30,'[1]liste reference'!$A$7:$P$892,3,0)),IF(ISERROR(VLOOKUP($A30,'[1]liste reference'!$B$7:$P$892,2,0)),"",VLOOKUP($A30,'[1]liste reference'!$B$7:$P$892,2,0)),VLOOKUP($A30,'[1]liste reference'!$A$7:$P$892,3,0)),"")</f>
        <v>11</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Groenlandia densa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1638</v>
      </c>
      <c r="Q30" s="215" t="n">
        <f aca="false">IF(ISTEXT(H30),"",(B30*$B$7/100)+(C30*$C$7/100))</f>
        <v>0.18</v>
      </c>
      <c r="R30" s="216" t="n">
        <f aca="false">IF(OR(ISTEXT(H30),Q30=0),"",IF(Q30&lt;0.1,1,IF(Q30&lt;1,2,IF(Q30&lt;10,3,IF(Q30&lt;50,4,IF(Q30&gt;=50,5,""))))))</f>
        <v>2</v>
      </c>
      <c r="S30" s="216" t="n">
        <f aca="false">IF(ISERROR(R30*I30),0,R30*I30)</f>
        <v>22</v>
      </c>
      <c r="T30" s="216" t="n">
        <f aca="false">IF(ISERROR(R30*I30*J30),0,R30*I30*J30)</f>
        <v>44</v>
      </c>
      <c r="U30" s="230" t="n">
        <f aca="false">IF(ISERROR(R30*J30),0,R30*J30)</f>
        <v>4</v>
      </c>
      <c r="V30" s="217" t="n">
        <v>4</v>
      </c>
      <c r="W30" s="218"/>
      <c r="Y30" s="219" t="str">
        <f aca="false">IF(A30="new.cod","NEWCOD",IF(AND((Z30=""),ISTEXT(A30)),A30,IF(Z30="","",INDEX('[1]liste reference'!$A$7:$A$892,Z30))))</f>
        <v>GRODEN</v>
      </c>
      <c r="Z30" s="10" t="n">
        <f aca="false">IF(ISERROR(MATCH(A30,'[1]liste reference'!$A$7:$A$892,0)),IF(ISERROR(MATCH(A30,'[1]liste reference'!$B$7:$B$892,0)),"",(MATCH(A30,'[1]liste reference'!$B$7:$B$892,0))),(MATCH(A30,'[1]liste reference'!$A$7:$A$892,0)))</f>
        <v>328</v>
      </c>
      <c r="AA30" s="220"/>
      <c r="AB30" s="221"/>
      <c r="AC30" s="221"/>
      <c r="BC30" s="10" t="n">
        <f aca="false">IF(A30="","",1)</f>
        <v>1</v>
      </c>
    </row>
    <row r="31" customFormat="false" ht="12.75" hidden="false" customHeight="false" outlineLevel="0" collapsed="false">
      <c r="A31" s="222" t="s">
        <v>86</v>
      </c>
      <c r="B31" s="223" t="n">
        <v>2.5</v>
      </c>
      <c r="C31" s="224" t="n">
        <v>2</v>
      </c>
      <c r="D31" s="225" t="str">
        <f aca="false">IF(ISERROR(VLOOKUP($A31,'[1]liste reference'!$A$7:$D$892,2,0)),IF(ISERROR(VLOOKUP($A31,'[1]liste reference'!$B$7:$D$892,1,0)),"",VLOOKUP($A31,'[1]liste reference'!$B$7:$D$892,1,0)),VLOOKUP($A31,'[1]liste reference'!$A$7:$D$892,2,0))</f>
        <v>Ranunculus trichophyllus</v>
      </c>
      <c r="E31" s="225" t="e">
        <f aca="false">IF(D31="",0,VLOOKUP(D31,D$22:D30,1,0))</f>
        <v>#N/A</v>
      </c>
      <c r="F31" s="226" t="n">
        <f aca="false">($B31*$B$7+$C31*$C$7)/100</f>
        <v>2.45</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11</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Ranunculus trichophyllus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1914</v>
      </c>
      <c r="Q31" s="215" t="n">
        <f aca="false">IF(ISTEXT(H31),"",(B31*$B$7/100)+(C31*$C$7/100))</f>
        <v>2.45</v>
      </c>
      <c r="R31" s="216" t="n">
        <f aca="false">IF(OR(ISTEXT(H31),Q31=0),"",IF(Q31&lt;0.1,1,IF(Q31&lt;1,2,IF(Q31&lt;10,3,IF(Q31&lt;50,4,IF(Q31&gt;=50,5,""))))))</f>
        <v>3</v>
      </c>
      <c r="S31" s="216" t="n">
        <f aca="false">IF(ISERROR(R31*I31),0,R31*I31)</f>
        <v>33</v>
      </c>
      <c r="T31" s="216" t="n">
        <f aca="false">IF(ISERROR(R31*I31*J31),0,R31*I31*J31)</f>
        <v>66</v>
      </c>
      <c r="U31" s="230" t="n">
        <f aca="false">IF(ISERROR(R31*J31),0,R31*J31)</f>
        <v>6</v>
      </c>
      <c r="V31" s="217" t="n">
        <v>6</v>
      </c>
      <c r="W31" s="218"/>
      <c r="Y31" s="219" t="str">
        <f aca="false">IF(A31="new.cod","NEWCOD",IF(AND((Z31=""),ISTEXT(A31)),A31,IF(Z31="","",INDEX('[1]liste reference'!$A$7:$A$892,Z31))))</f>
        <v>RANTRI</v>
      </c>
      <c r="Z31" s="10" t="n">
        <f aca="false">IF(ISERROR(MATCH(A31,'[1]liste reference'!$A$7:$A$892,0)),IF(ISERROR(MATCH(A31,'[1]liste reference'!$B$7:$B$892,0)),"",(MATCH(A31,'[1]liste reference'!$B$7:$B$892,0))),(MATCH(A31,'[1]liste reference'!$A$7:$A$892,0)))</f>
        <v>699</v>
      </c>
      <c r="AA31" s="220"/>
      <c r="AB31" s="221"/>
      <c r="AC31" s="221"/>
      <c r="BC31" s="10" t="n">
        <f aca="false">IF(A31="","",1)</f>
        <v>1</v>
      </c>
    </row>
    <row r="32" customFormat="false" ht="12.75" hidden="false" customHeight="false" outlineLevel="0" collapsed="false">
      <c r="A32" s="222" t="s">
        <v>87</v>
      </c>
      <c r="B32" s="223" t="n">
        <v>0</v>
      </c>
      <c r="C32" s="224" t="n">
        <v>0.01</v>
      </c>
      <c r="D32" s="225" t="str">
        <f aca="false">IF(ISERROR(VLOOKUP($A32,'[1]liste reference'!$A$7:$D$892,2,0)),IF(ISERROR(VLOOKUP($A32,'[1]liste reference'!$B$7:$D$892,1,0)),"",VLOOKUP($A32,'[1]liste reference'!$B$7:$D$892,1,0)),VLOOKUP($A32,'[1]liste reference'!$A$7:$D$892,2,0))</f>
        <v>Sparganium emersum fo. brevifolium</v>
      </c>
      <c r="E32" s="225" t="e">
        <f aca="false">IF(D32="",0,VLOOKUP(D32,D$22:D31,1,0))</f>
        <v>#N/A</v>
      </c>
      <c r="F32" s="226" t="n">
        <f aca="false">($B32*$B$7+$C32*$C$7)/100</f>
        <v>0.001</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n">
        <f aca="false">IF(ISNUMBER(H32),IF(ISERROR(VLOOKUP($A32,'[1]liste reference'!$A$7:$P$892,3,0)),IF(ISERROR(VLOOKUP($A32,'[1]liste reference'!$B$7:$P$892,2,0)),"",VLOOKUP($A32,'[1]liste reference'!$B$7:$P$892,2,0)),VLOOKUP($A32,'[1]liste reference'!$A$7:$P$892,3,0)),"")</f>
        <v>13</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Sparganium emersum fo. brevifolium</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19694</v>
      </c>
      <c r="Q32" s="215" t="n">
        <f aca="false">IF(ISTEXT(H32),"",(B32*$B$7/100)+(C32*$C$7/100))</f>
        <v>0.001</v>
      </c>
      <c r="R32" s="216" t="n">
        <f aca="false">IF(OR(ISTEXT(H32),Q32=0),"",IF(Q32&lt;0.1,1,IF(Q32&lt;1,2,IF(Q32&lt;10,3,IF(Q32&lt;50,4,IF(Q32&gt;=50,5,""))))))</f>
        <v>1</v>
      </c>
      <c r="S32" s="216" t="n">
        <f aca="false">IF(ISERROR(R32*I32),0,R32*I32)</f>
        <v>13</v>
      </c>
      <c r="T32" s="216" t="n">
        <f aca="false">IF(ISERROR(R32*I32*J32),0,R32*I32*J32)</f>
        <v>26</v>
      </c>
      <c r="U32" s="230" t="n">
        <f aca="false">IF(ISERROR(R32*J32),0,R32*J32)</f>
        <v>2</v>
      </c>
      <c r="V32" s="217" t="n">
        <v>2</v>
      </c>
      <c r="W32" s="218"/>
      <c r="Y32" s="219" t="str">
        <f aca="false">IF(A32="new.cod","NEWCOD",IF(AND((Z32=""),ISTEXT(A32)),A32,IF(Z32="","",INDEX('[1]liste reference'!$A$7:$A$892,Z32))))</f>
        <v>SPAEMC</v>
      </c>
      <c r="Z32" s="10" t="n">
        <f aca="false">IF(ISERROR(MATCH(A32,'[1]liste reference'!$A$7:$A$892,0)),IF(ISERROR(MATCH(A32,'[1]liste reference'!$B$7:$B$892,0)),"",(MATCH(A32,'[1]liste reference'!$B$7:$B$892,0))),(MATCH(A32,'[1]liste reference'!$A$7:$A$892,0)))</f>
        <v>791</v>
      </c>
      <c r="AA32" s="220"/>
      <c r="AB32" s="221"/>
      <c r="AC32" s="221"/>
      <c r="BC32" s="10" t="n">
        <f aca="false">IF(A32="","",1)</f>
        <v>1</v>
      </c>
    </row>
    <row r="33" customFormat="false" ht="12.75" hidden="false" customHeight="false" outlineLevel="0" collapsed="false">
      <c r="A33" s="222" t="s">
        <v>88</v>
      </c>
      <c r="B33" s="223" t="n">
        <v>0.05</v>
      </c>
      <c r="C33" s="224" t="n">
        <v>0.05</v>
      </c>
      <c r="D33" s="225" t="str">
        <f aca="false">IF(ISERROR(VLOOKUP($A33,'[1]liste reference'!$A$7:$D$892,2,0)),IF(ISERROR(VLOOKUP($A33,'[1]liste reference'!$B$7:$D$892,1,0)),"",VLOOKUP($A33,'[1]liste reference'!$B$7:$D$892,1,0)),VLOOKUP($A33,'[1]liste reference'!$A$7:$D$892,2,0))</f>
        <v>Berula erecta</v>
      </c>
      <c r="E33" s="225" t="e">
        <f aca="false">IF(D33="",0,VLOOKUP(D33,D$22:D32,1,0))</f>
        <v>#N/A</v>
      </c>
      <c r="F33" s="226" t="n">
        <f aca="false">($B33*$B$7+$C33*$C$7)/100</f>
        <v>0.05</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14</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Berula erecta</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1977</v>
      </c>
      <c r="Q33" s="215" t="n">
        <f aca="false">IF(ISTEXT(H33),"",(B33*$B$7/100)+(C33*$C$7/100))</f>
        <v>0.05</v>
      </c>
      <c r="R33" s="216" t="n">
        <f aca="false">IF(OR(ISTEXT(H33),Q33=0),"",IF(Q33&lt;0.1,1,IF(Q33&lt;1,2,IF(Q33&lt;10,3,IF(Q33&lt;50,4,IF(Q33&gt;=50,5,""))))))</f>
        <v>1</v>
      </c>
      <c r="S33" s="216" t="n">
        <f aca="false">IF(ISERROR(R33*I33),0,R33*I33)</f>
        <v>14</v>
      </c>
      <c r="T33" s="216" t="n">
        <f aca="false">IF(ISERROR(R33*I33*J33),0,R33*I33*J33)</f>
        <v>28</v>
      </c>
      <c r="U33" s="230" t="n">
        <f aca="false">IF(ISERROR(R33*J33),0,R33*J33)</f>
        <v>2</v>
      </c>
      <c r="V33" s="217" t="n">
        <v>2</v>
      </c>
      <c r="W33" s="218"/>
      <c r="Y33" s="219" t="str">
        <f aca="false">IF(A33="new.cod","NEWCOD",IF(AND((Z33=""),ISTEXT(A33)),A33,IF(Z33="","",INDEX('[1]liste reference'!$A$7:$A$892,Z33))))</f>
        <v>BERERE</v>
      </c>
      <c r="Z33" s="10" t="n">
        <f aca="false">IF(ISERROR(MATCH(A33,'[1]liste reference'!$A$7:$A$892,0)),IF(ISERROR(MATCH(A33,'[1]liste reference'!$B$7:$B$892,0)),"",(MATCH(A33,'[1]liste reference'!$B$7:$B$892,0))),(MATCH(A33,'[1]liste reference'!$A$7:$A$892,0)))</f>
        <v>59</v>
      </c>
      <c r="AA33" s="220"/>
      <c r="AB33" s="221"/>
      <c r="AC33" s="221"/>
      <c r="BC33" s="10" t="n">
        <f aca="false">IF(A33="","",1)</f>
        <v>1</v>
      </c>
    </row>
    <row r="34" customFormat="false" ht="12.75" hidden="false" customHeight="false" outlineLevel="0" collapsed="false">
      <c r="A34" s="222" t="s">
        <v>89</v>
      </c>
      <c r="B34" s="223" t="n">
        <v>0</v>
      </c>
      <c r="C34" s="224" t="n">
        <v>0.01</v>
      </c>
      <c r="D34" s="225" t="str">
        <f aca="false">IF(ISERROR(VLOOKUP($A34,'[1]liste reference'!$A$7:$D$892,2,0)),IF(ISERROR(VLOOKUP($A34,'[1]liste reference'!$B$7:$D$892,1,0)),"",VLOOKUP($A34,'[1]liste reference'!$B$7:$D$892,1,0)),VLOOKUP($A34,'[1]liste reference'!$A$7:$D$892,2,0))</f>
        <v>Caltha palustris</v>
      </c>
      <c r="E34" s="225" t="e">
        <f aca="false">IF(D34="",0,VLOOKUP(D34,D$22:D33,1,0))</f>
        <v>#N/A</v>
      </c>
      <c r="F34" s="232" t="n">
        <f aca="false">($B34*$B$7+$C34*$C$7)/100</f>
        <v>0.001</v>
      </c>
      <c r="G34" s="227" t="str">
        <f aca="false">IF(A34="","",IF(ISERROR(VLOOKUP($A34,'[1]liste reference'!$A$7:$P$892,13,0)),IF(ISERROR(VLOOKUP($A34,'[1]liste reference'!$B$7:$P$892,12,0)),"    -",VLOOKUP($A34,'[1]liste reference'!$B$7:$P$892,12,0)),VLOOKUP($A34,'[1]liste reference'!$A$7:$P$892,13,0)))</f>
        <v>PHe</v>
      </c>
      <c r="H34" s="209" t="n">
        <f aca="false">IF(A34="","x",IF(ISERROR(VLOOKUP($A34,'[1]liste reference'!$A$7:$P$892,14,0)),IF(ISERROR(VLOOKUP($A34,'[1]liste reference'!$B$7:$P$892,13,0)),"x",VLOOKUP($A34,'[1]liste reference'!$B$7:$P$892,13,0)),VLOOKUP($A34,'[1]liste reference'!$A$7:$P$892,14,0)))</f>
        <v>8</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Caltha palustris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1893</v>
      </c>
      <c r="Q34" s="215" t="n">
        <f aca="false">IF(ISTEXT(H34),"",(B34*$B$7/100)+(C34*$C$7/100))</f>
        <v>0.001</v>
      </c>
      <c r="R34" s="216" t="n">
        <f aca="false">IF(OR(ISTEXT(H34),Q34=0),"",IF(Q34&lt;0.1,1,IF(Q34&lt;1,2,IF(Q34&lt;10,3,IF(Q34&lt;50,4,IF(Q34&gt;=50,5,""))))))</f>
        <v>1</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CAHPAL</v>
      </c>
      <c r="Z34" s="10" t="n">
        <f aca="false">IF(ISERROR(MATCH(A34,'[1]liste reference'!$A$7:$A$892,0)),IF(ISERROR(MATCH(A34,'[1]liste reference'!$B$7:$B$892,0)),"",(MATCH(A34,'[1]liste reference'!$B$7:$B$892,0))),(MATCH(A34,'[1]liste reference'!$A$7:$A$892,0)))</f>
        <v>86</v>
      </c>
      <c r="AA34" s="220"/>
      <c r="AB34" s="221"/>
      <c r="AC34" s="221"/>
      <c r="BC34" s="10" t="n">
        <f aca="false">IF(A34="","",1)</f>
        <v>1</v>
      </c>
    </row>
    <row r="35" customFormat="false" ht="12.75" hidden="false" customHeight="false" outlineLevel="0" collapsed="false">
      <c r="A35" s="222" t="s">
        <v>90</v>
      </c>
      <c r="B35" s="223" t="n">
        <v>0</v>
      </c>
      <c r="C35" s="224" t="n">
        <v>0.01</v>
      </c>
      <c r="D35" s="225" t="str">
        <f aca="false">IF(ISERROR(VLOOKUP($A35,'[1]liste reference'!$A$7:$D$892,2,0)),IF(ISERROR(VLOOKUP($A35,'[1]liste reference'!$B$7:$D$892,1,0)),"",VLOOKUP($A35,'[1]liste reference'!$B$7:$D$892,1,0)),VLOOKUP($A35,'[1]liste reference'!$A$7:$D$892,2,0))</f>
        <v>Carex sp.</v>
      </c>
      <c r="E35" s="225" t="e">
        <f aca="false">IF(D35="",0,VLOOKUP(D35,D$22:D34,1,0))</f>
        <v>#N/A</v>
      </c>
      <c r="F35" s="232" t="n">
        <f aca="false">($B35*$B$7+$C35*$C$7)/100</f>
        <v>0.001</v>
      </c>
      <c r="G35" s="227" t="str">
        <f aca="false">IF(A35="","",IF(ISERROR(VLOOKUP($A35,'[1]liste reference'!$A$7:$P$892,13,0)),IF(ISERROR(VLOOKUP($A35,'[1]liste reference'!$B$7:$P$892,12,0)),"    -",VLOOKUP($A35,'[1]liste reference'!$B$7:$P$892,12,0)),VLOOKUP($A35,'[1]liste reference'!$A$7:$P$892,13,0)))</f>
        <v>PHe</v>
      </c>
      <c r="H35" s="209" t="n">
        <f aca="false">IF(A35="","x",IF(ISERROR(VLOOKUP($A35,'[1]liste reference'!$A$7:$P$892,14,0)),IF(ISERROR(VLOOKUP($A35,'[1]liste reference'!$B$7:$P$892,13,0)),"x",VLOOKUP($A35,'[1]liste reference'!$B$7:$P$892,13,0)),VLOOKUP($A35,'[1]liste reference'!$A$7:$P$892,14,0)))</f>
        <v>8</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Carex sp.</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1466</v>
      </c>
      <c r="Q35" s="215" t="n">
        <f aca="false">IF(ISTEXT(H35),"",(B35*$B$7/100)+(C35*$C$7/100))</f>
        <v>0.001</v>
      </c>
      <c r="R35" s="216" t="n">
        <f aca="false">IF(OR(ISTEXT(H35),Q35=0),"",IF(Q35&lt;0.1,1,IF(Q35&lt;1,2,IF(Q35&lt;10,3,IF(Q35&lt;50,4,IF(Q35&gt;=50,5,""))))))</f>
        <v>1</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CARSPX</v>
      </c>
      <c r="Z35" s="10" t="n">
        <f aca="false">IF(ISERROR(MATCH(A35,'[1]liste reference'!$A$7:$A$892,0)),IF(ISERROR(MATCH(A35,'[1]liste reference'!$B$7:$B$892,0)),"",(MATCH(A35,'[1]liste reference'!$B$7:$B$892,0))),(MATCH(A35,'[1]liste reference'!$A$7:$A$892,0)))</f>
        <v>135</v>
      </c>
      <c r="AA35" s="220"/>
      <c r="AB35" s="221"/>
      <c r="AC35" s="221"/>
      <c r="BC35" s="10" t="n">
        <f aca="false">IF(A35="","",1)</f>
        <v>1</v>
      </c>
    </row>
    <row r="36" customFormat="false" ht="12.75" hidden="false" customHeight="false" outlineLevel="0" collapsed="false">
      <c r="A36" s="222" t="s">
        <v>91</v>
      </c>
      <c r="B36" s="223" t="n">
        <v>0</v>
      </c>
      <c r="C36" s="224" t="n">
        <v>0.1</v>
      </c>
      <c r="D36" s="225" t="str">
        <f aca="false">IF(ISERROR(VLOOKUP($A36,'[1]liste reference'!$A$7:$D$892,2,0)),IF(ISERROR(VLOOKUP($A36,'[1]liste reference'!$B$7:$D$892,1,0)),"",VLOOKUP($A36,'[1]liste reference'!$B$7:$D$892,1,0)),VLOOKUP($A36,'[1]liste reference'!$A$7:$D$892,2,0))</f>
        <v>Glyceria fluitans</v>
      </c>
      <c r="E36" s="225" t="e">
        <f aca="false">IF(D36="",0,VLOOKUP(D36,D$22:D35,1,0))</f>
        <v>#N/A</v>
      </c>
      <c r="F36" s="232" t="n">
        <f aca="false">($B36*$B$7+$C36*$C$7)/100</f>
        <v>0.01</v>
      </c>
      <c r="G36" s="227" t="str">
        <f aca="false">IF(A36="","",IF(ISERROR(VLOOKUP($A36,'[1]liste reference'!$A$7:$P$892,13,0)),IF(ISERROR(VLOOKUP($A36,'[1]liste reference'!$B$7:$P$892,12,0)),"    -",VLOOKUP($A36,'[1]liste reference'!$B$7:$P$892,12,0)),VLOOKUP($A36,'[1]liste reference'!$A$7:$P$892,13,0)))</f>
        <v>PHe</v>
      </c>
      <c r="H36" s="209" t="n">
        <f aca="false">IF(A36="","x",IF(ISERROR(VLOOKUP($A36,'[1]liste reference'!$A$7:$P$892,14,0)),IF(ISERROR(VLOOKUP($A36,'[1]liste reference'!$B$7:$P$892,13,0)),"x",VLOOKUP($A36,'[1]liste reference'!$B$7:$P$892,13,0)),VLOOKUP($A36,'[1]liste reference'!$A$7:$P$892,14,0)))</f>
        <v>8</v>
      </c>
      <c r="I36" s="228" t="n">
        <f aca="false">IF(ISNUMBER(H36),IF(ISERROR(VLOOKUP($A36,'[1]liste reference'!$A$7:$P$892,3,0)),IF(ISERROR(VLOOKUP($A36,'[1]liste reference'!$B$7:$P$892,2,0)),"",VLOOKUP($A36,'[1]liste reference'!$B$7:$P$892,2,0)),VLOOKUP($A36,'[1]liste reference'!$A$7:$P$892,3,0)),"")</f>
        <v>14</v>
      </c>
      <c r="J36" s="211" t="n">
        <f aca="false">IF(ISNUMBER(H36),IF(ISERROR(VLOOKUP($A36,'[1]liste reference'!$A$7:$P$892,4,0)),IF(ISERROR(VLOOKUP($A36,'[1]liste reference'!$B$7:$P$892,3,0)),"",VLOOKUP($A36,'[1]liste reference'!$B$7:$P$892,3,0)),VLOOKUP($A36,'[1]liste reference'!$A$7:$P$892,4,0)),"")</f>
        <v>2</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Glyceria fluitans</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1564</v>
      </c>
      <c r="Q36" s="215" t="n">
        <f aca="false">IF(ISTEXT(H36),"",(B36*$B$7/100)+(C36*$C$7/100))</f>
        <v>0.01</v>
      </c>
      <c r="R36" s="216" t="n">
        <f aca="false">IF(OR(ISTEXT(H36),Q36=0),"",IF(Q36&lt;0.1,1,IF(Q36&lt;1,2,IF(Q36&lt;10,3,IF(Q36&lt;50,4,IF(Q36&gt;=50,5,""))))))</f>
        <v>1</v>
      </c>
      <c r="S36" s="216" t="n">
        <f aca="false">IF(ISERROR(R36*I36),0,R36*I36)</f>
        <v>14</v>
      </c>
      <c r="T36" s="216" t="n">
        <f aca="false">IF(ISERROR(R36*I36*J36),0,R36*I36*J36)</f>
        <v>28</v>
      </c>
      <c r="U36" s="230" t="n">
        <f aca="false">IF(ISERROR(R36*J36),0,R36*J36)</f>
        <v>2</v>
      </c>
      <c r="V36" s="217" t="n">
        <v>2</v>
      </c>
      <c r="W36" s="218"/>
      <c r="Y36" s="219" t="str">
        <f aca="false">IF(A36="new.cod","NEWCOD",IF(AND((Z36=""),ISTEXT(A36)),A36,IF(Z36="","",INDEX('[1]liste reference'!$A$7:$A$892,Z36))))</f>
        <v>GLYFLU</v>
      </c>
      <c r="Z36" s="10" t="n">
        <f aca="false">IF(ISERROR(MATCH(A36,'[1]liste reference'!$A$7:$A$892,0)),IF(ISERROR(MATCH(A36,'[1]liste reference'!$B$7:$B$892,0)),"",(MATCH(A36,'[1]liste reference'!$B$7:$B$892,0))),(MATCH(A36,'[1]liste reference'!$A$7:$A$892,0)))</f>
        <v>320</v>
      </c>
      <c r="AA36" s="220"/>
      <c r="AB36" s="221"/>
      <c r="AC36" s="221"/>
      <c r="BC36" s="10" t="n">
        <f aca="false">IF(A36="","",1)</f>
        <v>1</v>
      </c>
    </row>
    <row r="37" customFormat="false" ht="12.75" hidden="false" customHeight="false" outlineLevel="0" collapsed="false">
      <c r="A37" s="222" t="s">
        <v>92</v>
      </c>
      <c r="B37" s="223" t="n">
        <v>0</v>
      </c>
      <c r="C37" s="224" t="n">
        <v>0.02</v>
      </c>
      <c r="D37" s="225" t="str">
        <f aca="false">IF(ISERROR(VLOOKUP($A37,'[1]liste reference'!$A$7:$D$892,2,0)),IF(ISERROR(VLOOKUP($A37,'[1]liste reference'!$B$7:$D$892,1,0)),"",VLOOKUP($A37,'[1]liste reference'!$B$7:$D$892,1,0)),VLOOKUP($A37,'[1]liste reference'!$A$7:$D$892,2,0))</f>
        <v>Mentha sp.</v>
      </c>
      <c r="E37" s="225" t="e">
        <f aca="false">IF(D37="",0,VLOOKUP(D37,D$22:D36,1,0))</f>
        <v>#N/A</v>
      </c>
      <c r="F37" s="232" t="n">
        <f aca="false">($B37*$B$7+$C37*$C$7)/100</f>
        <v>0.002</v>
      </c>
      <c r="G37" s="227" t="str">
        <f aca="false">IF(A37="","",IF(ISERROR(VLOOKUP($A37,'[1]liste reference'!$A$7:$P$892,13,0)),IF(ISERROR(VLOOKUP($A37,'[1]liste reference'!$B$7:$P$892,12,0)),"    -",VLOOKUP($A37,'[1]liste reference'!$B$7:$P$892,12,0)),VLOOKUP($A37,'[1]liste reference'!$A$7:$P$892,13,0)))</f>
        <v>PHe</v>
      </c>
      <c r="H37" s="209" t="n">
        <f aca="false">IF(A37="","x",IF(ISERROR(VLOOKUP($A37,'[1]liste reference'!$A$7:$P$892,14,0)),IF(ISERROR(VLOOKUP($A37,'[1]liste reference'!$B$7:$P$892,13,0)),"x",VLOOKUP($A37,'[1]liste reference'!$B$7:$P$892,13,0)),VLOOKUP($A37,'[1]liste reference'!$A$7:$P$892,14,0)))</f>
        <v>8</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Mentha sp.</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179</v>
      </c>
      <c r="Q37" s="215" t="n">
        <f aca="false">IF(ISTEXT(H37),"",(B37*$B$7/100)+(C37*$C$7/100))</f>
        <v>0.002</v>
      </c>
      <c r="R37" s="216" t="n">
        <f aca="false">IF(OR(ISTEXT(H37),Q37=0),"",IF(Q37&lt;0.1,1,IF(Q37&lt;1,2,IF(Q37&lt;10,3,IF(Q37&lt;50,4,IF(Q37&gt;=50,5,""))))))</f>
        <v>1</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MENSPX</v>
      </c>
      <c r="Z37" s="10" t="n">
        <f aca="false">IF(ISERROR(MATCH(A37,'[1]liste reference'!$A$7:$A$892,0)),IF(ISERROR(MATCH(A37,'[1]liste reference'!$B$7:$B$892,0)),"",(MATCH(A37,'[1]liste reference'!$B$7:$B$892,0))),(MATCH(A37,'[1]liste reference'!$A$7:$A$892,0)))</f>
        <v>462</v>
      </c>
      <c r="AA37" s="220"/>
      <c r="AB37" s="221"/>
      <c r="AC37" s="221"/>
      <c r="BC37" s="10" t="n">
        <f aca="false">IF(A37="","",1)</f>
        <v>1</v>
      </c>
    </row>
    <row r="38" customFormat="false" ht="12.75" hidden="false" customHeight="false" outlineLevel="0" collapsed="false">
      <c r="A38" s="222" t="s">
        <v>93</v>
      </c>
      <c r="B38" s="223" t="n">
        <v>0</v>
      </c>
      <c r="C38" s="224" t="n">
        <v>0.02</v>
      </c>
      <c r="D38" s="225" t="str">
        <f aca="false">IF(ISERROR(VLOOKUP($A38,'[1]liste reference'!$A$7:$D$892,2,0)),IF(ISERROR(VLOOKUP($A38,'[1]liste reference'!$B$7:$D$892,1,0)),"",VLOOKUP($A38,'[1]liste reference'!$B$7:$D$892,1,0)),VLOOKUP($A38,'[1]liste reference'!$A$7:$D$892,2,0))</f>
        <v>Scirpus sylvaticus</v>
      </c>
      <c r="E38" s="225" t="e">
        <f aca="false">IF(D38="",0,VLOOKUP(D38,D$22:D37,1,0))</f>
        <v>#N/A</v>
      </c>
      <c r="F38" s="232" t="n">
        <f aca="false">($B38*$B$7+$C38*$C$7)/100</f>
        <v>0.002</v>
      </c>
      <c r="G38" s="227" t="str">
        <f aca="false">IF(A38="","",IF(ISERROR(VLOOKUP($A38,'[1]liste reference'!$A$7:$P$892,13,0)),IF(ISERROR(VLOOKUP($A38,'[1]liste reference'!$B$7:$P$892,12,0)),"    -",VLOOKUP($A38,'[1]liste reference'!$B$7:$P$892,12,0)),VLOOKUP($A38,'[1]liste reference'!$A$7:$P$892,13,0)))</f>
        <v>PHe</v>
      </c>
      <c r="H38" s="209" t="n">
        <f aca="false">IF(A38="","x",IF(ISERROR(VLOOKUP($A38,'[1]liste reference'!$A$7:$P$892,14,0)),IF(ISERROR(VLOOKUP($A38,'[1]liste reference'!$B$7:$P$892,13,0)),"x",VLOOKUP($A38,'[1]liste reference'!$B$7:$P$892,13,0)),VLOOKUP($A38,'[1]liste reference'!$A$7:$P$892,14,0)))</f>
        <v>8</v>
      </c>
      <c r="I38" s="228" t="n">
        <f aca="false">IF(ISNUMBER(H38),IF(ISERROR(VLOOKUP($A38,'[1]liste reference'!$A$7:$P$892,3,0)),IF(ISERROR(VLOOKUP($A38,'[1]liste reference'!$B$7:$P$892,2,0)),"",VLOOKUP($A38,'[1]liste reference'!$B$7:$P$892,2,0)),VLOOKUP($A38,'[1]liste reference'!$A$7:$P$892,3,0)),"")</f>
        <v>10</v>
      </c>
      <c r="J38" s="211" t="n">
        <f aca="false">IF(ISNUMBER(H38),IF(ISERROR(VLOOKUP($A38,'[1]liste reference'!$A$7:$P$892,4,0)),IF(ISERROR(VLOOKUP($A38,'[1]liste reference'!$B$7:$P$892,3,0)),"",VLOOKUP($A38,'[1]liste reference'!$B$7:$P$892,3,0)),VLOOKUP($A38,'[1]liste reference'!$A$7:$P$892,4,0)),"")</f>
        <v>2</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Scirpus sylvaticus</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1525</v>
      </c>
      <c r="Q38" s="215" t="n">
        <f aca="false">IF(ISTEXT(H38),"",(B38*$B$7/100)+(C38*$C$7/100))</f>
        <v>0.002</v>
      </c>
      <c r="R38" s="216" t="n">
        <f aca="false">IF(OR(ISTEXT(H38),Q38=0),"",IF(Q38&lt;0.1,1,IF(Q38&lt;1,2,IF(Q38&lt;10,3,IF(Q38&lt;50,4,IF(Q38&gt;=50,5,""))))))</f>
        <v>1</v>
      </c>
      <c r="S38" s="216" t="n">
        <f aca="false">IF(ISERROR(R38*I38),0,R38*I38)</f>
        <v>10</v>
      </c>
      <c r="T38" s="216" t="n">
        <f aca="false">IF(ISERROR(R38*I38*J38),0,R38*I38*J38)</f>
        <v>20</v>
      </c>
      <c r="U38" s="230" t="n">
        <f aca="false">IF(ISERROR(R38*J38),0,R38*J38)</f>
        <v>2</v>
      </c>
      <c r="V38" s="217" t="n">
        <v>2</v>
      </c>
      <c r="W38" s="218"/>
      <c r="Y38" s="219" t="str">
        <f aca="false">IF(A38="new.cod","NEWCOD",IF(AND((Z38=""),ISTEXT(A38)),A38,IF(Z38="","",INDEX('[1]liste reference'!$A$7:$A$892,Z38))))</f>
        <v>SCISYL</v>
      </c>
      <c r="Z38" s="10" t="n">
        <f aca="false">IF(ISERROR(MATCH(A38,'[1]liste reference'!$A$7:$A$892,0)),IF(ISERROR(MATCH(A38,'[1]liste reference'!$B$7:$B$892,0)),"",(MATCH(A38,'[1]liste reference'!$B$7:$B$892,0))),(MATCH(A38,'[1]liste reference'!$A$7:$A$892,0)))</f>
        <v>764</v>
      </c>
      <c r="AA38" s="220"/>
      <c r="AB38" s="221"/>
      <c r="AC38" s="221"/>
      <c r="BC38" s="10" t="n">
        <f aca="false">IF(A38="","",1)</f>
        <v>1</v>
      </c>
    </row>
    <row r="39" customFormat="false" ht="12.75" hidden="false" customHeight="false" outlineLevel="0" collapsed="false">
      <c r="A39" s="222" t="s">
        <v>94</v>
      </c>
      <c r="B39" s="223" t="n">
        <v>0.2</v>
      </c>
      <c r="C39" s="224" t="n">
        <v>0.1</v>
      </c>
      <c r="D39" s="225" t="str">
        <f aca="false">IF(ISERROR(VLOOKUP($A39,'[1]liste reference'!$A$7:$D$892,2,0)),IF(ISERROR(VLOOKUP($A39,'[1]liste reference'!$B$7:$D$892,1,0)),"",VLOOKUP($A39,'[1]liste reference'!$B$7:$D$892,1,0)),VLOOKUP($A39,'[1]liste reference'!$A$7:$D$892,2,0))</f>
        <v>Veronica anagallis-aquatica</v>
      </c>
      <c r="E39" s="225" t="e">
        <f aca="false">IF(D39="",0,VLOOKUP(D39,D$22:D38,1,0))</f>
        <v>#N/A</v>
      </c>
      <c r="F39" s="232" t="n">
        <f aca="false">($B39*$B$7+$C39*$C$7)/100</f>
        <v>0.19</v>
      </c>
      <c r="G39" s="227" t="str">
        <f aca="false">IF(A39="","",IF(ISERROR(VLOOKUP($A39,'[1]liste reference'!$A$7:$P$892,13,0)),IF(ISERROR(VLOOKUP($A39,'[1]liste reference'!$B$7:$P$892,12,0)),"    -",VLOOKUP($A39,'[1]liste reference'!$B$7:$P$892,12,0)),VLOOKUP($A39,'[1]liste reference'!$A$7:$P$892,13,0)))</f>
        <v>PHe</v>
      </c>
      <c r="H39" s="209" t="n">
        <f aca="false">IF(A39="","x",IF(ISERROR(VLOOKUP($A39,'[1]liste reference'!$A$7:$P$892,14,0)),IF(ISERROR(VLOOKUP($A39,'[1]liste reference'!$B$7:$P$892,13,0)),"x",VLOOKUP($A39,'[1]liste reference'!$B$7:$P$892,13,0)),VLOOKUP($A39,'[1]liste reference'!$A$7:$P$892,14,0)))</f>
        <v>8</v>
      </c>
      <c r="I39" s="228" t="n">
        <f aca="false">IF(ISNUMBER(H39),IF(ISERROR(VLOOKUP($A39,'[1]liste reference'!$A$7:$P$892,3,0)),IF(ISERROR(VLOOKUP($A39,'[1]liste reference'!$B$7:$P$892,2,0)),"",VLOOKUP($A39,'[1]liste reference'!$B$7:$P$892,2,0)),VLOOKUP($A39,'[1]liste reference'!$A$7:$P$892,3,0)),"")</f>
        <v>11</v>
      </c>
      <c r="J39" s="211" t="n">
        <f aca="false">IF(ISNUMBER(H39),IF(ISERROR(VLOOKUP($A39,'[1]liste reference'!$A$7:$P$892,4,0)),IF(ISERROR(VLOOKUP($A39,'[1]liste reference'!$B$7:$P$892,3,0)),"",VLOOKUP($A39,'[1]liste reference'!$B$7:$P$892,3,0)),VLOOKUP($A39,'[1]liste reference'!$A$7:$P$892,4,0)),"")</f>
        <v>2</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Veronica anagallis-aquatica</v>
      </c>
      <c r="L39" s="229"/>
      <c r="M39" s="229"/>
      <c r="N39" s="229"/>
      <c r="O39" s="214" t="str">
        <f aca="false">IF(AA39="Cf.","Cf.","")</f>
        <v/>
      </c>
      <c r="P39" s="214" t="n">
        <f aca="false">IF($A39="NEWCOD",IF($AC39="","No",$AC39),IF(ISTEXT($E39),"DEJA SAISI !",IF($A39="","",IF(ISERROR(VLOOKUP($A39,'[1]liste reference'!A$1:S$1048576,19,FALSE())),IF(ISERROR(VLOOKUP($A39,'[1]liste reference'!B$1:S$1048576,19,FALSE())),"",VLOOKUP($A39,'[1]liste reference'!B$1:S$1048576,19,FALSE())),VLOOKUP($A39,'[1]liste reference'!A$1:S$1048576,19,FALSE())))))</f>
        <v>1955</v>
      </c>
      <c r="Q39" s="215" t="n">
        <f aca="false">IF(ISTEXT(H39),"",(B39*$B$7/100)+(C39*$C$7/100))</f>
        <v>0.19</v>
      </c>
      <c r="R39" s="216" t="n">
        <f aca="false">IF(OR(ISTEXT(H39),Q39=0),"",IF(Q39&lt;0.1,1,IF(Q39&lt;1,2,IF(Q39&lt;10,3,IF(Q39&lt;50,4,IF(Q39&gt;=50,5,""))))))</f>
        <v>2</v>
      </c>
      <c r="S39" s="216" t="n">
        <f aca="false">IF(ISERROR(R39*I39),0,R39*I39)</f>
        <v>22</v>
      </c>
      <c r="T39" s="216" t="n">
        <f aca="false">IF(ISERROR(R39*I39*J39),0,R39*I39*J39)</f>
        <v>44</v>
      </c>
      <c r="U39" s="230" t="n">
        <f aca="false">IF(ISERROR(R39*J39),0,R39*J39)</f>
        <v>4</v>
      </c>
      <c r="V39" s="217" t="n">
        <v>4</v>
      </c>
      <c r="W39" s="218"/>
      <c r="Y39" s="219" t="str">
        <f aca="false">IF(A39="new.cod","NEWCOD",IF(AND((Z39=""),ISTEXT(A39)),A39,IF(Z39="","",INDEX('[1]liste reference'!$A$7:$A$892,Z39))))</f>
        <v>VERANA</v>
      </c>
      <c r="Z39" s="10" t="n">
        <f aca="false">IF(ISERROR(MATCH(A39,'[1]liste reference'!$A$7:$A$892,0)),IF(ISERROR(MATCH(A39,'[1]liste reference'!$B$7:$B$892,0)),"",(MATCH(A39,'[1]liste reference'!$B$7:$B$892,0))),(MATCH(A39,'[1]liste reference'!$A$7:$A$892,0)))</f>
        <v>865</v>
      </c>
      <c r="AA39" s="220"/>
      <c r="AB39" s="221"/>
      <c r="AC39" s="221"/>
      <c r="BC39" s="10" t="n">
        <f aca="false">IF(A39="","",1)</f>
        <v>1</v>
      </c>
    </row>
    <row r="40" customFormat="false" ht="12.75" hidden="false" customHeight="false" outlineLevel="0" collapsed="false">
      <c r="A40" s="222" t="s">
        <v>95</v>
      </c>
      <c r="B40" s="223" t="n">
        <v>0</v>
      </c>
      <c r="C40" s="224" t="n">
        <v>0.01</v>
      </c>
      <c r="D40" s="225" t="str">
        <f aca="false">IF(ISERROR(VLOOKUP($A40,'[1]liste reference'!$A$7:$D$892,2,0)),IF(ISERROR(VLOOKUP($A40,'[1]liste reference'!$B$7:$D$892,1,0)),"",VLOOKUP($A40,'[1]liste reference'!$B$7:$D$892,1,0)),VLOOKUP($A40,'[1]liste reference'!$A$7:$D$892,2,0))</f>
        <v>Epilobium hirsutum</v>
      </c>
      <c r="E40" s="225" t="e">
        <f aca="false">IF(D40="",0,VLOOKUP(D40,D$22:D39,1,0))</f>
        <v>#N/A</v>
      </c>
      <c r="F40" s="232" t="n">
        <f aca="false">($B40*$B$7+$C40*$C$7)/100</f>
        <v>0.001</v>
      </c>
      <c r="G40" s="227" t="str">
        <f aca="false">IF(A40="","",IF(ISERROR(VLOOKUP($A40,'[1]liste reference'!$A$7:$P$892,13,0)),IF(ISERROR(VLOOKUP($A40,'[1]liste reference'!$B$7:$P$892,12,0)),"    -",VLOOKUP($A40,'[1]liste reference'!$B$7:$P$892,12,0)),VLOOKUP($A40,'[1]liste reference'!$A$7:$P$892,13,0)))</f>
        <v>PHg</v>
      </c>
      <c r="H40" s="209" t="n">
        <f aca="false">IF(A40="","x",IF(ISERROR(VLOOKUP($A40,'[1]liste reference'!$A$7:$P$892,14,0)),IF(ISERROR(VLOOKUP($A40,'[1]liste reference'!$B$7:$P$892,13,0)),"x",VLOOKUP($A40,'[1]liste reference'!$B$7:$P$892,13,0)),VLOOKUP($A40,'[1]liste reference'!$A$7:$P$892,14,0)))</f>
        <v>9</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Epilobium hirsutum</v>
      </c>
      <c r="L40" s="229"/>
      <c r="M40" s="229"/>
      <c r="N40" s="229"/>
      <c r="O40" s="214" t="str">
        <f aca="false">IF(AA40="Cf.","Cf.","")</f>
        <v/>
      </c>
      <c r="P40" s="214" t="n">
        <f aca="false">IF($A40="NEWCOD",IF($AC40="","No",$AC40),IF(ISTEXT($E40),"DEJA SAISI !",IF($A40="","",IF(ISERROR(VLOOKUP($A40,'[1]liste reference'!A$1:S$1048576,19,FALSE())),IF(ISERROR(VLOOKUP($A40,'[1]liste reference'!B$1:S$1048576,19,FALSE())),"",VLOOKUP($A40,'[1]liste reference'!B$1:S$1048576,19,FALSE())),VLOOKUP($A40,'[1]liste reference'!A$1:S$1048576,19,FALSE())))))</f>
        <v>1846</v>
      </c>
      <c r="Q40" s="215" t="n">
        <f aca="false">IF(ISTEXT(H40),"",(B40*$B$7/100)+(C40*$C$7/100))</f>
        <v>0.001</v>
      </c>
      <c r="R40" s="216" t="n">
        <f aca="false">IF(OR(ISTEXT(H40),Q40=0),"",IF(Q40&lt;0.1,1,IF(Q40&lt;1,2,IF(Q40&lt;10,3,IF(Q40&lt;50,4,IF(Q40&gt;=50,5,""))))))</f>
        <v>1</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EPIHIR</v>
      </c>
      <c r="Z40" s="10" t="n">
        <f aca="false">IF(ISERROR(MATCH(A40,'[1]liste reference'!$A$7:$A$892,0)),IF(ISERROR(MATCH(A40,'[1]liste reference'!$B$7:$B$892,0)),"",(MATCH(A40,'[1]liste reference'!$B$7:$B$892,0))),(MATCH(A40,'[1]liste reference'!$A$7:$A$892,0)))</f>
        <v>260</v>
      </c>
      <c r="AA40" s="220"/>
      <c r="AB40" s="221"/>
      <c r="AC40" s="221"/>
      <c r="BC40" s="10" t="n">
        <f aca="false">IF(A40="","",1)</f>
        <v>1</v>
      </c>
    </row>
    <row r="41" customFormat="false" ht="12.75" hidden="false" customHeight="false" outlineLevel="0" collapsed="false">
      <c r="A41" s="222" t="s">
        <v>96</v>
      </c>
      <c r="B41" s="223" t="n">
        <v>0</v>
      </c>
      <c r="C41" s="224" t="n">
        <v>0.01</v>
      </c>
      <c r="D41" s="225" t="str">
        <f aca="false">IF(ISERROR(VLOOKUP($A41,'[1]liste reference'!$A$7:$D$892,2,0)),IF(ISERROR(VLOOKUP($A41,'[1]liste reference'!$B$7:$D$892,1,0)),"",VLOOKUP($A41,'[1]liste reference'!$B$7:$D$892,1,0)),VLOOKUP($A41,'[1]liste reference'!$A$7:$D$892,2,0))</f>
        <v>Filipendula ulmaria</v>
      </c>
      <c r="E41" s="225" t="e">
        <f aca="false">IF(D41="",0,VLOOKUP(D41,D$22:D40,1,0))</f>
        <v>#N/A</v>
      </c>
      <c r="F41" s="232" t="n">
        <f aca="false">($B41*$B$7+$C41*$C$7)/100</f>
        <v>0.001</v>
      </c>
      <c r="G41" s="227" t="str">
        <f aca="false">IF(A41="","",IF(ISERROR(VLOOKUP($A41,'[1]liste reference'!$A$7:$P$892,13,0)),IF(ISERROR(VLOOKUP($A41,'[1]liste reference'!$B$7:$P$892,12,0)),"    -",VLOOKUP($A41,'[1]liste reference'!$B$7:$P$892,12,0)),VLOOKUP($A41,'[1]liste reference'!$A$7:$P$892,13,0)))</f>
        <v>PHg</v>
      </c>
      <c r="H41" s="209" t="n">
        <f aca="false">IF(A41="","x",IF(ISERROR(VLOOKUP($A41,'[1]liste reference'!$A$7:$P$892,14,0)),IF(ISERROR(VLOOKUP($A41,'[1]liste reference'!$B$7:$P$892,13,0)),"x",VLOOKUP($A41,'[1]liste reference'!$B$7:$P$892,13,0)),VLOOKUP($A41,'[1]liste reference'!$A$7:$P$892,14,0)))</f>
        <v>9</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Filipendula ulmaria</v>
      </c>
      <c r="L41" s="229"/>
      <c r="M41" s="229"/>
      <c r="N41" s="229"/>
      <c r="O41" s="214" t="str">
        <f aca="false">IF(AA41="Cf.","Cf.","")</f>
        <v/>
      </c>
      <c r="P41" s="214" t="n">
        <f aca="false">IF($A41="NEWCOD",IF($AC41="","No",$AC41),IF(ISTEXT($E41),"DEJA SAISI !",IF($A41="","",IF(ISERROR(VLOOKUP($A41,'[1]liste reference'!A$1:S$1048576,19,FALSE())),IF(ISERROR(VLOOKUP($A41,'[1]liste reference'!B$1:S$1048576,19,FALSE())),"",VLOOKUP($A41,'[1]liste reference'!B$1:S$1048576,19,FALSE())),VLOOKUP($A41,'[1]liste reference'!A$1:S$1048576,19,FALSE())))))</f>
        <v>1919</v>
      </c>
      <c r="Q41" s="215" t="n">
        <f aca="false">IF(ISTEXT(H41),"",(B41*$B$7/100)+(C41*$C$7/100))</f>
        <v>0.001</v>
      </c>
      <c r="R41" s="216" t="n">
        <f aca="false">IF(OR(ISTEXT(H41),Q41=0),"",IF(Q41&lt;0.1,1,IF(Q41&lt;1,2,IF(Q41&lt;10,3,IF(Q41&lt;50,4,IF(Q41&gt;=50,5,""))))))</f>
        <v>1</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FILULM</v>
      </c>
      <c r="Z41" s="10" t="n">
        <f aca="false">IF(ISERROR(MATCH(A41,'[1]liste reference'!$A$7:$A$892,0)),IF(ISERROR(MATCH(A41,'[1]liste reference'!$B$7:$B$892,0)),"",(MATCH(A41,'[1]liste reference'!$B$7:$B$892,0))),(MATCH(A41,'[1]liste reference'!$A$7:$A$892,0)))</f>
        <v>286</v>
      </c>
      <c r="AA41" s="220"/>
      <c r="AB41" s="221"/>
      <c r="AC41" s="221"/>
      <c r="BC41" s="10" t="n">
        <f aca="false">IF(A41="","",1)</f>
        <v>1</v>
      </c>
    </row>
    <row r="42" customFormat="false" ht="12.75" hidden="false" customHeight="false" outlineLevel="0" collapsed="false">
      <c r="A42" s="222" t="s">
        <v>97</v>
      </c>
      <c r="B42" s="223" t="n">
        <v>0</v>
      </c>
      <c r="C42" s="224" t="n">
        <v>0.01</v>
      </c>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0.001</v>
      </c>
      <c r="G42" s="227" t="str">
        <f aca="false">IF(A42="","",IF(ISERROR(VLOOKUP($A42,'[1]liste reference'!$A$7:$P$892,13,0)),IF(ISERROR(VLOOKUP($A42,'[1]liste reference'!$B$7:$P$892,12,0)),"    -",VLOOKUP($A42,'[1]liste reference'!$B$7:$P$892,12,0)),VLOOKUP($A42,'[1]liste reference'!$A$7:$P$892,13,0)))</f>
        <v>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Salix purpurea</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No</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newcod</v>
      </c>
      <c r="Z42" s="10" t="str">
        <f aca="false">IF(ISERROR(MATCH(A42,'[1]liste reference'!$A$7:$A$892,0)),IF(ISERROR(MATCH(A42,'[1]liste reference'!$B$7:$B$892,0)),"",(MATCH(A42,'[1]liste reference'!$B$7:$B$892,0))),(MATCH(A42,'[1]liste reference'!$A$7:$A$892,0)))</f>
        <v/>
      </c>
      <c r="AA42" s="220"/>
      <c r="AB42" s="221" t="s">
        <v>98</v>
      </c>
      <c r="AC42" s="221"/>
      <c r="BC42" s="10" t="n">
        <f aca="false">IF(A42="","",1)</f>
        <v>1</v>
      </c>
    </row>
    <row r="43" customFormat="false" ht="12.75" hidden="false" customHeight="false" outlineLevel="0" collapsed="false">
      <c r="A43" s="222" t="s">
        <v>97</v>
      </c>
      <c r="B43" s="223" t="n">
        <v>0.01</v>
      </c>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0.009</v>
      </c>
      <c r="G43" s="227" t="str">
        <f aca="false">IF(A43="","",IF(ISERROR(VLOOKUP($A43,'[1]liste reference'!$A$7:$P$892,13,0)),IF(ISERROR(VLOOKUP($A43,'[1]liste reference'!$B$7:$P$892,12,0)),"    -",VLOOKUP($A43,'[1]liste reference'!$B$7:$P$892,12,0)),VLOOKUP($A43,'[1]liste reference'!$A$7:$P$892,13,0)))</f>
        <v>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Salix fragilis</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No</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newcod</v>
      </c>
      <c r="Z43" s="10" t="str">
        <f aca="false">IF(ISERROR(MATCH(A43,'[1]liste reference'!$A$7:$A$892,0)),IF(ISERROR(MATCH(A43,'[1]liste reference'!$B$7:$B$892,0)),"",(MATCH(A43,'[1]liste reference'!$B$7:$B$892,0))),(MATCH(A43,'[1]liste reference'!$A$7:$A$892,0)))</f>
        <v/>
      </c>
      <c r="AA43" s="220"/>
      <c r="AB43" s="221" t="s">
        <v>99</v>
      </c>
      <c r="AC43" s="221"/>
      <c r="BC43" s="10" t="n">
        <f aca="false">IF(A43="","",1)</f>
        <v>1</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100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Bourne</v>
      </c>
      <c r="B84" s="253" t="str">
        <f aca="false">C3</f>
        <v>Bourne à Villard de Lans</v>
      </c>
      <c r="C84" s="254" t="n">
        <f aca="false">A4</f>
        <v>41106</v>
      </c>
      <c r="D84" s="255" t="n">
        <f aca="false">IF(ISERROR(SUM($T$23:$T$82)/SUM($U$23:$U$82)),"",SUM($T$23:$T$82)/SUM($U$23:$U$82))</f>
        <v>11.3333333333333</v>
      </c>
      <c r="E84" s="256" t="n">
        <f aca="false">N13</f>
        <v>21</v>
      </c>
      <c r="F84" s="253" t="n">
        <f aca="false">N14</f>
        <v>14</v>
      </c>
      <c r="G84" s="253" t="n">
        <f aca="false">N15</f>
        <v>4</v>
      </c>
      <c r="H84" s="253" t="n">
        <f aca="false">N16</f>
        <v>9</v>
      </c>
      <c r="I84" s="253" t="n">
        <f aca="false">N17</f>
        <v>1</v>
      </c>
      <c r="J84" s="257" t="n">
        <f aca="false">N8</f>
        <v>10.8571428571429</v>
      </c>
      <c r="K84" s="255" t="n">
        <f aca="false">N9</f>
        <v>3.79994216265991</v>
      </c>
      <c r="L84" s="256" t="n">
        <f aca="false">N10</f>
        <v>4</v>
      </c>
      <c r="M84" s="256" t="n">
        <f aca="false">N11</f>
        <v>18</v>
      </c>
      <c r="N84" s="255" t="n">
        <f aca="false">O8</f>
        <v>1.78571428571429</v>
      </c>
      <c r="O84" s="255" t="n">
        <f aca="false">O9</f>
        <v>0.57893422352184</v>
      </c>
      <c r="P84" s="256" t="n">
        <f aca="false">O10</f>
        <v>1</v>
      </c>
      <c r="Q84" s="256" t="n">
        <f aca="false">O11</f>
        <v>3</v>
      </c>
      <c r="R84" s="256" t="n">
        <f aca="false">F21</f>
        <v>28.097</v>
      </c>
      <c r="S84" s="256" t="n">
        <f aca="false">K11</f>
        <v>0</v>
      </c>
      <c r="T84" s="256" t="n">
        <f aca="false">K12</f>
        <v>2</v>
      </c>
      <c r="U84" s="256" t="n">
        <f aca="false">K13</f>
        <v>5</v>
      </c>
      <c r="V84" s="258" t="n">
        <f aca="false">K14</f>
        <v>0</v>
      </c>
      <c r="W84" s="259" t="n">
        <f aca="false">K15</f>
        <v>12</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101</v>
      </c>
      <c r="R86" s="10"/>
      <c r="S86" s="217"/>
      <c r="T86" s="10"/>
      <c r="U86" s="10"/>
      <c r="V86" s="10"/>
    </row>
    <row r="87" customFormat="false" ht="12.75" hidden="true" customHeight="false" outlineLevel="0" collapsed="false">
      <c r="P87" s="10"/>
      <c r="Q87" s="10" t="s">
        <v>102</v>
      </c>
      <c r="R87" s="10"/>
      <c r="S87" s="217" t="n">
        <f aca="false">VLOOKUP(MAX($S$23:$S$82),($S$23:$U$82),1,0)</f>
        <v>40</v>
      </c>
      <c r="T87" s="10"/>
      <c r="U87" s="10"/>
      <c r="V87" s="10"/>
    </row>
    <row r="88" customFormat="false" ht="12.75" hidden="true" customHeight="false" outlineLevel="0" collapsed="false">
      <c r="P88" s="10"/>
      <c r="Q88" s="10" t="s">
        <v>103</v>
      </c>
      <c r="R88" s="10"/>
      <c r="S88" s="217" t="n">
        <f aca="false">VLOOKUP((S87),($S$23:$U$82),2,0)</f>
        <v>40</v>
      </c>
      <c r="T88" s="10"/>
      <c r="U88" s="10"/>
      <c r="V88" s="10"/>
    </row>
    <row r="89" customFormat="false" ht="12.75" hidden="false" customHeight="false" outlineLevel="0" collapsed="false">
      <c r="Q89" s="10" t="s">
        <v>104</v>
      </c>
      <c r="R89" s="10"/>
      <c r="S89" s="217" t="n">
        <f aca="false">VLOOKUP((S87),($S$23:$U$82),3,0)</f>
        <v>4</v>
      </c>
      <c r="T89" s="10"/>
    </row>
    <row r="90" customFormat="false" ht="12.75" hidden="false" customHeight="false" outlineLevel="0" collapsed="false">
      <c r="Q90" s="10" t="s">
        <v>105</v>
      </c>
      <c r="R90" s="10"/>
      <c r="S90" s="262" t="n">
        <f aca="false">IF(ISERROR(SUM($T$23:$T$82)/SUM($U$23:$U$82)),"",(SUM($T$23:$T$82)-S88)/(SUM($U$23:$U$82)-S89))</f>
        <v>11.4736842105263</v>
      </c>
      <c r="T90" s="10"/>
    </row>
    <row r="91" customFormat="false" ht="12.75" hidden="false" customHeight="false" outlineLevel="0" collapsed="false">
      <c r="Q91" s="216" t="s">
        <v>106</v>
      </c>
      <c r="R91" s="216"/>
      <c r="S91" s="216" t="str">
        <f aca="false">INDEX('[1]liste reference'!$A$7:$A$892,$T$91)</f>
        <v>FONANT</v>
      </c>
      <c r="T91" s="10" t="n">
        <f aca="false">IF(ISERROR(MATCH($S$93,'[1]liste reference'!$A$7:$A$892,0)),MATCH($S$93,'[1]liste reference'!$B$7:$B$892,0),(MATCH($S$93,'[1]liste reference'!$A$7:$A$892,0)))</f>
        <v>304</v>
      </c>
      <c r="U91" s="251"/>
    </row>
    <row r="92" customFormat="false" ht="12.75" hidden="false" customHeight="false" outlineLevel="0" collapsed="false">
      <c r="Q92" s="10" t="s">
        <v>107</v>
      </c>
      <c r="R92" s="10"/>
      <c r="S92" s="10" t="n">
        <f aca="false">MATCH(S87,$S$23:$S$82,0)</f>
        <v>6</v>
      </c>
      <c r="T92" s="10"/>
    </row>
    <row r="93" customFormat="false" ht="12.75" hidden="false" customHeight="false" outlineLevel="0" collapsed="false">
      <c r="Q93" s="216" t="s">
        <v>108</v>
      </c>
      <c r="R93" s="10"/>
      <c r="S93" s="216" t="str">
        <f aca="false">INDEX($A$23:$A$82,$S$92)</f>
        <v>FONANT</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2013-01-23T15:33:27Z</dcterms:created>
  <dc:creator> </dc:creator>
  <dc:description/>
  <dc:language>fr-FR</dc:language>
  <cp:lastModifiedBy> </cp:lastModifiedBy>
  <dcterms:modified xsi:type="dcterms:W3CDTF">2013-01-23T15:33:29Z</dcterms:modified>
  <cp:revision>0</cp:revision>
  <dc:subject/>
  <dc:title/>
</cp:coreProperties>
</file>