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<sst xmlns="http://schemas.openxmlformats.org/spreadsheetml/2006/main" count="114" uniqueCount="109">
  <si>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</si>
  <si>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</si>
  <si>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</si>
  <si>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LBOURGOIN LISEBE</t>
  </si>
  <si>
    <t xml:space="preserve">conforme AFNOR T90-395 oct. 2003</t>
  </si>
  <si>
    <t xml:space="preserve">BOURNE</t>
  </si>
  <si>
    <t xml:space="preserve">BOURNE A VILLARD DE LANS</t>
  </si>
  <si>
    <t xml:space="preserve">06147525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</si>
  <si>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</si>
  <si>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</si>
  <si>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</si>
  <si>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</si>
  <si>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</si>
  <si>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</si>
  <si>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</si>
  <si>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</si>
  <si>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FONANT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</si>
  <si>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</si>
  <si>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</si>
  <si>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</si>
  <si>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</si>
  <si>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</si>
  <si>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</si>
  <si>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</si>
  <si>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</si>
  <si>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</si>
  <si>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</si>
  <si>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</si>
  <si>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</si>
  <si>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</si>
  <si>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</si>
  <si>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</si>
  <si>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</si>
  <si>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</si>
  <si>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</si>
  <si>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</si>
  <si>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</si>
  <si>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</si>
  <si>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</si>
  <si>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</si>
  <si>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</si>
  <si>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</si>
  <si>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</si>
  <si>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</si>
  <si>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</si>
  <si>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</si>
  <si>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</si>
  <si>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</si>
  <si>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</si>
  <si>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</si>
  <si>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</si>
  <si>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</si>
  <si>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</si>
  <si>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</si>
  <si>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</si>
  <si>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</si>
  <si>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</si>
  <si>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</si>
  <si>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</si>
  <si>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</si>
  <si>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</si>
  <si>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</si>
  <si>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</si>
  <si>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</si>
  <si>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</si>
  <si>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</si>
  <si>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</si>
  <si>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</si>
  <si>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</si>
  <si>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</si>
  <si>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</si>
  <si>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</si>
  <si>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</si>
  <si>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</si>
  <si>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</si>
  <si>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</si>
  <si>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</si>
  <si>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</si>
  <si>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HYUSPX</t>
  </si>
  <si>
    <t xml:space="preserve">NOSSPX</t>
  </si>
  <si>
    <t xml:space="preserve">VAUSPX</t>
  </si>
  <si>
    <t xml:space="preserve">CINRIP</t>
  </si>
  <si>
    <t xml:space="preserve">CRACOM</t>
  </si>
  <si>
    <t xml:space="preserve">RHYRIP</t>
  </si>
  <si>
    <t xml:space="preserve">GRODEN</t>
  </si>
  <si>
    <t xml:space="preserve">RANPES</t>
  </si>
  <si>
    <t xml:space="preserve">BERERE</t>
  </si>
  <si>
    <t xml:space="preserve">CAHPAL</t>
  </si>
  <si>
    <t xml:space="preserve">CARACT</t>
  </si>
  <si>
    <t xml:space="preserve">GLYFLU</t>
  </si>
  <si>
    <t xml:space="preserve">JUNSPX</t>
  </si>
  <si>
    <t xml:space="preserve">LYTSAL</t>
  </si>
  <si>
    <t xml:space="preserve">MENLON</t>
  </si>
  <si>
    <t xml:space="preserve">SCISYL</t>
  </si>
  <si>
    <t xml:space="preserve">SPAERE</t>
  </si>
  <si>
    <t xml:space="preserve">VERANA</t>
  </si>
  <si>
    <t xml:space="preserve">FILULM</t>
  </si>
  <si>
    <t xml:space="preserve">SCRSPX</t>
  </si>
  <si>
    <t xml:space="preserve">newcod</t>
  </si>
  <si>
    <t xml:space="preserve">Salix fragilis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</si>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</sst>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BOVIL_10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41465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11.8181818181818</v>
      </c>
      <c r="M5" s="53"/>
      <c r="N5" s="54" t="s">
        <v>16</v>
      </c>
      <c r="O5" s="55" t="n">
        <v>12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11.5</v>
      </c>
      <c r="O8" s="84" t="n">
        <f aca="false">IF(ISERROR(AVERAGE(J23:J82)),"      -",AVERAGE(J23:J82))</f>
        <v>1.64285714285714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33.24</v>
      </c>
      <c r="C9" s="87" t="n">
        <v>27.85</v>
      </c>
      <c r="D9" s="88"/>
      <c r="E9" s="88"/>
      <c r="F9" s="89" t="n">
        <f aca="false">($B9*$B$7+$C9*$C$7)/100</f>
        <v>32.701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2.89704282723904</v>
      </c>
      <c r="O9" s="84" t="n">
        <f aca="false">IF(ISERROR(STDEVP(J23:J82)),"      -",STDEVP(J23:J82))</f>
        <v>0.479157423749955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16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0.61</v>
      </c>
      <c r="C12" s="119" t="n">
        <v>3</v>
      </c>
      <c r="D12" s="111"/>
      <c r="E12" s="111"/>
      <c r="F12" s="112" t="n">
        <f aca="false">($B12*$B$7+$C12*$C$7)/100</f>
        <v>0.849</v>
      </c>
      <c r="G12" s="120"/>
      <c r="H12" s="68"/>
      <c r="I12" s="121" t="s">
        <v>39</v>
      </c>
      <c r="J12" s="121"/>
      <c r="K12" s="115" t="n">
        <f aca="false">COUNTIF($G$23:$G$82,"=ALG")</f>
        <v>3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25.08</v>
      </c>
      <c r="C13" s="119" t="n">
        <v>10.04</v>
      </c>
      <c r="D13" s="111"/>
      <c r="E13" s="111"/>
      <c r="F13" s="112" t="n">
        <f aca="false">($B13*$B$7+$C13*$C$7)/100</f>
        <v>23.576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4</v>
      </c>
      <c r="L13" s="116"/>
      <c r="M13" s="127" t="s">
        <v>42</v>
      </c>
      <c r="N13" s="128" t="n">
        <f aca="false">COUNTIF(F23:F82,"&gt;0")</f>
        <v>22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14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7.55</v>
      </c>
      <c r="C15" s="136" t="n">
        <v>14.81</v>
      </c>
      <c r="D15" s="111"/>
      <c r="E15" s="111"/>
      <c r="F15" s="112" t="n">
        <f aca="false">($B15*$B$7+$C15*$C$7)/100</f>
        <v>8.276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14</v>
      </c>
      <c r="L15" s="116"/>
      <c r="M15" s="137" t="s">
        <v>48</v>
      </c>
      <c r="N15" s="138" t="n">
        <f aca="false">COUNTIF(J23:J82,"=1")</f>
        <v>5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9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31.7</v>
      </c>
      <c r="C17" s="119" t="n">
        <v>13.25</v>
      </c>
      <c r="D17" s="111"/>
      <c r="E17" s="111"/>
      <c r="F17" s="143"/>
      <c r="G17" s="112" t="n">
        <f aca="false">($B17*$B$7+$C17*$C$7)/100</f>
        <v>29.855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 t="n">
        <v>1.54</v>
      </c>
      <c r="C18" s="146" t="n">
        <v>14.6</v>
      </c>
      <c r="D18" s="111"/>
      <c r="E18" s="147" t="s">
        <v>54</v>
      </c>
      <c r="F18" s="143"/>
      <c r="G18" s="112" t="n">
        <f aca="false">($B18*$B$7+$C18*$C$7)/100</f>
        <v>2.846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32.701</v>
      </c>
      <c r="G19" s="156" t="n">
        <f aca="false">SUM(G16:G18)</f>
        <v>32.701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33.25</v>
      </c>
      <c r="C20" s="166" t="n">
        <f aca="false">SUM(C23:C82)</f>
        <v>27.85</v>
      </c>
      <c r="D20" s="167"/>
      <c r="E20" s="168" t="s">
        <v>54</v>
      </c>
      <c r="F20" s="169" t="n">
        <f aca="false">($B20*$B$7+$C20*$C$7)/100</f>
        <v>32.71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29.925</v>
      </c>
      <c r="C21" s="179" t="n">
        <f aca="false">C20*C7/100</f>
        <v>2.785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32.71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0.2</v>
      </c>
      <c r="C23" s="206" t="n">
        <v>0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Hydrurus sp.</v>
      </c>
      <c r="E23" s="207" t="e">
        <f aca="false">IF(D23="",0,VLOOKUP(D23,D$22:D22,1,0))</f>
        <v>#N/A</v>
      </c>
      <c r="F23" s="208" t="n">
        <f aca="false">($B23*$B$7+$C23*$C$7)/100</f>
        <v>0.18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Hydrurus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6183</v>
      </c>
      <c r="Q23" s="216" t="n">
        <f aca="false">IF(ISTEXT(H23),"",(B23*$B$7/100)+(C23*$C$7/100))</f>
        <v>0.18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32</v>
      </c>
      <c r="T23" s="217" t="n">
        <f aca="false">IF(ISERROR(R23*I23*J23),0,R23*I23*J23)</f>
        <v>64</v>
      </c>
      <c r="U23" s="217" t="n">
        <f aca="false">IF(ISERROR(R23*J23),0,R23*J23)</f>
        <v>4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HYUSPX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33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0.01</v>
      </c>
      <c r="C24" s="225" t="n">
        <v>3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Nostoc sp.</v>
      </c>
      <c r="E24" s="226" t="e">
        <f aca="false">IF(D24="",0,VLOOKUP(D24,D$22:D23,1,0))</f>
        <v>#N/A</v>
      </c>
      <c r="F24" s="227" t="n">
        <f aca="false">($B24*$B$7+$C24*$C$7)/100</f>
        <v>0.309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9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Nostoc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1105</v>
      </c>
      <c r="Q24" s="216" t="n">
        <f aca="false">IF(ISTEXT(H24),"",(B24*$B$7/100)+(C24*$C$7/100))</f>
        <v>0.309</v>
      </c>
      <c r="R24" s="217" t="n">
        <f aca="false">IF(OR(ISTEXT(H24),Q24=0),"",IF(Q24&lt;0.1,1,IF(Q24&lt;1,2,IF(Q24&lt;10,3,IF(Q24&lt;50,4,IF(Q24&gt;=50,5,""))))))</f>
        <v>2</v>
      </c>
      <c r="S24" s="217" t="n">
        <f aca="false">IF(ISERROR(R24*I24),0,R24*I24)</f>
        <v>18</v>
      </c>
      <c r="T24" s="217" t="n">
        <f aca="false">IF(ISERROR(R24*I24*J24),0,R24*I24*J24)</f>
        <v>18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NOSSPX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54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0.4</v>
      </c>
      <c r="C25" s="225" t="n">
        <v>0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Vaucheria sp.</v>
      </c>
      <c r="E25" s="226" t="e">
        <f aca="false">IF(D25="",0,VLOOKUP(D25,D$22:D24,1,0))</f>
        <v>#N/A</v>
      </c>
      <c r="F25" s="227" t="n">
        <f aca="false">($B25*$B$7+$C25*$C$7)/100</f>
        <v>0.36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4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Vaucheria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6193</v>
      </c>
      <c r="Q25" s="216" t="n">
        <f aca="false">IF(ISTEXT(H25),"",(B25*$B$7/100)+(C25*$C$7/100))</f>
        <v>0.36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8</v>
      </c>
      <c r="T25" s="217" t="n">
        <f aca="false">IF(ISERROR(R25*I25*J25),0,R25*I25*J25)</f>
        <v>8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VAUSPX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82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0.01</v>
      </c>
      <c r="C26" s="225" t="n">
        <v>0.03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Cinclidotus riparius</v>
      </c>
      <c r="E26" s="226" t="e">
        <f aca="false">IF(D26="",0,VLOOKUP(D26,D$22:D25,1,0))</f>
        <v>#N/A</v>
      </c>
      <c r="F26" s="227" t="n">
        <f aca="false">($B26*$B$7+$C26*$C$7)/100</f>
        <v>0.012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BRm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5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Cinclidotus riparius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1321</v>
      </c>
      <c r="Q26" s="216" t="n">
        <f aca="false">IF(ISTEXT(H26),"",(B26*$B$7/100)+(C26*$C$7/100))</f>
        <v>0.012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13</v>
      </c>
      <c r="T26" s="217" t="n">
        <f aca="false">IF(ISERROR(R26*I26*J26),0,R26*I26*J26)</f>
        <v>26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CINRIP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174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0.07</v>
      </c>
      <c r="C27" s="225" t="n">
        <v>0.01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Cratoneuron commutatum</v>
      </c>
      <c r="E27" s="226" t="e">
        <f aca="false">IF(D27="",0,VLOOKUP(D27,D$22:D26,1,0))</f>
        <v>#N/A</v>
      </c>
      <c r="F27" s="227" t="n">
        <f aca="false">($B27*$B$7+$C27*$C$7)/100</f>
        <v>0.064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BRm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5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15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Cratoneuron commutatum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1232</v>
      </c>
      <c r="Q27" s="216" t="n">
        <f aca="false">IF(ISTEXT(H27),"",(B27*$B$7/100)+(C27*$C$7/100))</f>
        <v>0.064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15</v>
      </c>
      <c r="T27" s="217" t="n">
        <f aca="false">IF(ISERROR(R27*I27*J27),0,R27*I27*J27)</f>
        <v>30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CRACOM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177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16</v>
      </c>
      <c r="B28" s="224" t="n">
        <v>25</v>
      </c>
      <c r="C28" s="225" t="n">
        <v>10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Fontinalis antipyretica</v>
      </c>
      <c r="E28" s="226" t="e">
        <f aca="false">IF(D28="",0,VLOOKUP(D28,D$22:D27,1,0))</f>
        <v>#N/A</v>
      </c>
      <c r="F28" s="227" t="n">
        <f aca="false">($B28*$B$7+$C28*$C$7)/100</f>
        <v>23.5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10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Fontinalis antipyretica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1310</v>
      </c>
      <c r="Q28" s="216" t="n">
        <f aca="false">IF(ISTEXT(H28),"",(B28*$B$7/100)+(C28*$C$7/100))</f>
        <v>23.5</v>
      </c>
      <c r="R28" s="217" t="n">
        <f aca="false">IF(OR(ISTEXT(H28),Q28=0),"",IF(Q28&lt;0.1,1,IF(Q28&lt;1,2,IF(Q28&lt;10,3,IF(Q28&lt;50,4,IF(Q28&gt;=50,5,""))))))</f>
        <v>4</v>
      </c>
      <c r="S28" s="217" t="n">
        <f aca="false">IF(ISERROR(R28*I28),0,R28*I28)</f>
        <v>40</v>
      </c>
      <c r="T28" s="217" t="n">
        <f aca="false">IF(ISERROR(R28*I28*J28),0,R28*I28*J28)</f>
        <v>40</v>
      </c>
      <c r="U28" s="229" t="n">
        <f aca="false">IF(ISERROR(R28*J28),0,R28*J28)</f>
        <v>4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FONANT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210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0.01</v>
      </c>
      <c r="C29" s="225" t="n">
        <v>0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Rhynchostegium riparioides</v>
      </c>
      <c r="E29" s="226" t="e">
        <f aca="false">IF(D29="",0,VLOOKUP(D29,D$22:D28,1,0))</f>
        <v>#N/A</v>
      </c>
      <c r="F29" s="227" t="n">
        <f aca="false">($B29*$B$7+$C29*$C$7)/100</f>
        <v>0.009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12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Rhynchostegium riparioides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1268</v>
      </c>
      <c r="Q29" s="216" t="n">
        <f aca="false">IF(ISTEXT(H29),"",(B29*$B$7/100)+(C29*$C$7/100))</f>
        <v>0.009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12</v>
      </c>
      <c r="T29" s="217" t="n">
        <f aca="false">IF(ISERROR(R29*I29*J29),0,R29*I29*J29)</f>
        <v>12</v>
      </c>
      <c r="U29" s="229" t="n">
        <f aca="false">IF(ISERROR(R29*J29),0,R29*J29)</f>
        <v>1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RHYRIP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252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1</v>
      </c>
      <c r="C30" s="225" t="n">
        <v>0.01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Groenlandia densa</v>
      </c>
      <c r="E30" s="226" t="e">
        <f aca="false">IF(D30="",0,VLOOKUP(D30,D$22:D29,1,0))</f>
        <v>#N/A</v>
      </c>
      <c r="F30" s="227" t="n">
        <f aca="false">($B30*$B$7+$C30*$C$7)/100</f>
        <v>0.901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PHy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7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11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Groenlandia densa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1638</v>
      </c>
      <c r="Q30" s="216" t="n">
        <f aca="false">IF(ISTEXT(H30),"",(B30*$B$7/100)+(C30*$C$7/100))</f>
        <v>0.901</v>
      </c>
      <c r="R30" s="217" t="n">
        <f aca="false">IF(OR(ISTEXT(H30),Q30=0),"",IF(Q30&lt;0.1,1,IF(Q30&lt;1,2,IF(Q30&lt;10,3,IF(Q30&lt;50,4,IF(Q30&gt;=50,5,""))))))</f>
        <v>2</v>
      </c>
      <c r="S30" s="217" t="n">
        <f aca="false">IF(ISERROR(R30*I30),0,R30*I30)</f>
        <v>22</v>
      </c>
      <c r="T30" s="217" t="n">
        <f aca="false">IF(ISERROR(R30*I30*J30),0,R30*I30*J30)</f>
        <v>44</v>
      </c>
      <c r="U30" s="229" t="n">
        <f aca="false">IF(ISERROR(R30*J30),0,R30*J30)</f>
        <v>4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GRODEN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345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5</v>
      </c>
      <c r="C31" s="225" t="n">
        <v>0.2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Ranunculus penicillatus subsp. pseudofluitans</v>
      </c>
      <c r="E31" s="226" t="e">
        <f aca="false">IF(D31="",0,VLOOKUP(D31,D$22:D30,1,0))</f>
        <v>#N/A</v>
      </c>
      <c r="F31" s="227" t="n">
        <f aca="false">($B31*$B$7+$C31*$C$7)/100</f>
        <v>4.52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PHy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7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12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Ranunculus penicillatus subsp. pseudofluitans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19974</v>
      </c>
      <c r="Q31" s="216" t="n">
        <f aca="false">IF(ISTEXT(H31),"",(B31*$B$7/100)+(C31*$C$7/100))</f>
        <v>4.52</v>
      </c>
      <c r="R31" s="217" t="n">
        <f aca="false">IF(OR(ISTEXT(H31),Q31=0),"",IF(Q31&lt;0.1,1,IF(Q31&lt;1,2,IF(Q31&lt;10,3,IF(Q31&lt;50,4,IF(Q31&gt;=50,5,""))))))</f>
        <v>3</v>
      </c>
      <c r="S31" s="217" t="n">
        <f aca="false">IF(ISERROR(R31*I31),0,R31*I31)</f>
        <v>36</v>
      </c>
      <c r="T31" s="217" t="n">
        <f aca="false">IF(ISERROR(R31*I31*J31),0,R31*I31*J31)</f>
        <v>72</v>
      </c>
      <c r="U31" s="229" t="n">
        <f aca="false">IF(ISERROR(R31*J31),0,R31*J31)</f>
        <v>6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RANPES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464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0.05</v>
      </c>
      <c r="C32" s="225" t="n">
        <v>5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Berula erecta</v>
      </c>
      <c r="E32" s="226" t="e">
        <f aca="false">IF(D32="",0,VLOOKUP(D32,D$22:D31,1,0))</f>
        <v>#N/A</v>
      </c>
      <c r="F32" s="227" t="n">
        <f aca="false">($B32*$B$7+$C32*$C$7)/100</f>
        <v>0.545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PHe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8</v>
      </c>
      <c r="I32" s="211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14</v>
      </c>
      <c r="J32" s="211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2</v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Berula erecta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1977</v>
      </c>
      <c r="Q32" s="216" t="n">
        <f aca="false">IF(ISTEXT(H32),"",(B32*$B$7/100)+(C32*$C$7/100))</f>
        <v>0.545</v>
      </c>
      <c r="R32" s="217" t="n">
        <f aca="false">IF(OR(ISTEXT(H32),Q32=0),"",IF(Q32&lt;0.1,1,IF(Q32&lt;1,2,IF(Q32&lt;10,3,IF(Q32&lt;50,4,IF(Q32&gt;=50,5,""))))))</f>
        <v>2</v>
      </c>
      <c r="S32" s="217" t="n">
        <f aca="false">IF(ISERROR(R32*I32),0,R32*I32)</f>
        <v>28</v>
      </c>
      <c r="T32" s="217" t="n">
        <f aca="false">IF(ISERROR(R32*I32*J32),0,R32*I32*J32)</f>
        <v>56</v>
      </c>
      <c r="U32" s="229" t="n">
        <f aca="false">IF(ISERROR(R32*J32),0,R32*J32)</f>
        <v>4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BERERE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527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</v>
      </c>
      <c r="C33" s="225" t="n">
        <v>0.1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Caltha palustris</v>
      </c>
      <c r="E33" s="226" t="e">
        <f aca="false">IF(D33="",0,VLOOKUP(D33,D$22:D32,1,0))</f>
        <v>#N/A</v>
      </c>
      <c r="F33" s="227" t="n">
        <f aca="false">($B33*$B$7+$C33*$C$7)/100</f>
        <v>0.01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PHe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8</v>
      </c>
      <c r="I33" s="211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Caltha palustris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1893</v>
      </c>
      <c r="Q33" s="216" t="n">
        <f aca="false">IF(ISTEXT(H33),"",(B33*$B$7/100)+(C33*$C$7/100))</f>
        <v>0.01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CAHPAL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534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0</v>
      </c>
      <c r="C34" s="225" t="n">
        <v>0.01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Carex acutiformis</v>
      </c>
      <c r="E34" s="226" t="e">
        <f aca="false">IF(D34="",0,VLOOKUP(D34,D$22:D33,1,0))</f>
        <v>#N/A</v>
      </c>
      <c r="F34" s="231" t="n">
        <f aca="false">($B34*$B$7+$C34*$C$7)/100</f>
        <v>0.001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PHe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8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Carex acutiformis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1468</v>
      </c>
      <c r="Q34" s="216" t="n">
        <f aca="false">IF(ISTEXT(H34),"",(B34*$B$7/100)+(C34*$C$7/100))</f>
        <v>0.001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CARACT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537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89</v>
      </c>
      <c r="B35" s="224" t="n">
        <v>0.5</v>
      </c>
      <c r="C35" s="225" t="n">
        <v>3.2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Glyceria fluitans</v>
      </c>
      <c r="E35" s="226" t="e">
        <f aca="false">IF(D35="",0,VLOOKUP(D35,D$22:D34,1,0))</f>
        <v>#N/A</v>
      </c>
      <c r="F35" s="231" t="n">
        <f aca="false">($B35*$B$7+$C35*$C$7)/100</f>
        <v>0.77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PHe</v>
      </c>
      <c r="H35" s="210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8</v>
      </c>
      <c r="I35" s="211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14</v>
      </c>
      <c r="J35" s="211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2</v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Glyceria fluitans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1564</v>
      </c>
      <c r="Q35" s="216" t="n">
        <f aca="false">IF(ISTEXT(H35),"",(B35*$B$7/100)+(C35*$C$7/100))</f>
        <v>0.77</v>
      </c>
      <c r="R35" s="217" t="n">
        <f aca="false">IF(OR(ISTEXT(H35),Q35=0),"",IF(Q35&lt;0.1,1,IF(Q35&lt;1,2,IF(Q35&lt;10,3,IF(Q35&lt;50,4,IF(Q35&gt;=50,5,""))))))</f>
        <v>2</v>
      </c>
      <c r="S35" s="217" t="n">
        <f aca="false">IF(ISERROR(R35*I35),0,R35*I35)</f>
        <v>28</v>
      </c>
      <c r="T35" s="217" t="n">
        <f aca="false">IF(ISERROR(R35*I35*J35),0,R35*I35*J35)</f>
        <v>56</v>
      </c>
      <c r="U35" s="229" t="n">
        <f aca="false">IF(ISERROR(R35*J35),0,R35*J35)</f>
        <v>4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GLYFLU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575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90</v>
      </c>
      <c r="B36" s="224" t="n">
        <v>0</v>
      </c>
      <c r="C36" s="225" t="n">
        <v>0.01</v>
      </c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Juncus sp.</v>
      </c>
      <c r="E36" s="226" t="e">
        <f aca="false">IF(D36="",0,VLOOKUP(D36,D$22:D35,1,0))</f>
        <v>#N/A</v>
      </c>
      <c r="F36" s="231" t="n">
        <f aca="false">($B36*$B$7+$C36*$C$7)/100</f>
        <v>0.001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PHe</v>
      </c>
      <c r="H36" s="210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8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Juncus sp.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1606</v>
      </c>
      <c r="Q36" s="216" t="n">
        <f aca="false">IF(ISTEXT(H36),"",(B36*$B$7/100)+(C36*$C$7/100))</f>
        <v>0.001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>JUNSPX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590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91</v>
      </c>
      <c r="B37" s="224" t="n">
        <v>0</v>
      </c>
      <c r="C37" s="225" t="n">
        <v>0.05</v>
      </c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Lythrum salicaria</v>
      </c>
      <c r="E37" s="226" t="e">
        <f aca="false">IF(D37="",0,VLOOKUP(D37,D$22:D36,1,0))</f>
        <v>#N/A</v>
      </c>
      <c r="F37" s="231" t="n">
        <f aca="false">($B37*$B$7+$C37*$C$7)/100</f>
        <v>0.005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PHe</v>
      </c>
      <c r="H37" s="210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8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Lythrum salicaria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1823</v>
      </c>
      <c r="Q37" s="216" t="n">
        <f aca="false">IF(ISTEXT(H37),"",(B37*$B$7/100)+(C37*$C$7/100))</f>
        <v>0.005</v>
      </c>
      <c r="R37" s="217" t="n">
        <f aca="false">IF(OR(ISTEXT(H37),Q37=0),"",IF(Q37&lt;0.1,1,IF(Q37&lt;1,2,IF(Q37&lt;10,3,IF(Q37&lt;50,4,IF(Q37&gt;=50,5,""))))))</f>
        <v>1</v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>LYTSAL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605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92</v>
      </c>
      <c r="B38" s="224" t="n">
        <v>0</v>
      </c>
      <c r="C38" s="225" t="n">
        <v>1</v>
      </c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Mentha longifolia</v>
      </c>
      <c r="E38" s="226" t="e">
        <f aca="false">IF(D38="",0,VLOOKUP(D38,D$22:D37,1,0))</f>
        <v>#N/A</v>
      </c>
      <c r="F38" s="231" t="n">
        <f aca="false">($B38*$B$7+$C38*$C$7)/100</f>
        <v>0.1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PHe</v>
      </c>
      <c r="H38" s="210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8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Mentha longifolia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19856</v>
      </c>
      <c r="Q38" s="216" t="n">
        <f aca="false">IF(ISTEXT(H38),"",(B38*$B$7/100)+(C38*$C$7/100))</f>
        <v>0.1</v>
      </c>
      <c r="R38" s="217" t="n">
        <f aca="false">IF(OR(ISTEXT(H38),Q38=0),"",IF(Q38&lt;0.1,1,IF(Q38&lt;1,2,IF(Q38&lt;10,3,IF(Q38&lt;50,4,IF(Q38&gt;=50,5,""))))))</f>
        <v>2</v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>MENLON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609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93</v>
      </c>
      <c r="B39" s="224" t="n">
        <v>0</v>
      </c>
      <c r="C39" s="225" t="n">
        <v>5</v>
      </c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>Scirpus sylvaticus</v>
      </c>
      <c r="E39" s="226" t="e">
        <f aca="false">IF(D39="",0,VLOOKUP(D39,D$22:D38,1,0))</f>
        <v>#N/A</v>
      </c>
      <c r="F39" s="231" t="n">
        <f aca="false">($B39*$B$7+$C39*$C$7)/100</f>
        <v>0.5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PHe</v>
      </c>
      <c r="H39" s="210" t="n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8</v>
      </c>
      <c r="I39" s="211" t="n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>10</v>
      </c>
      <c r="J39" s="211" t="n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>2</v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Scirpus sylvaticus</v>
      </c>
      <c r="L39" s="228"/>
      <c r="M39" s="228"/>
      <c r="N39" s="228"/>
      <c r="O39" s="214"/>
      <c r="P39" s="215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1525</v>
      </c>
      <c r="Q39" s="216" t="n">
        <f aca="false">IF(ISTEXT(H39),"",(B39*$B$7/100)+(C39*$C$7/100))</f>
        <v>0.5</v>
      </c>
      <c r="R39" s="217" t="n">
        <f aca="false">IF(OR(ISTEXT(H39),Q39=0),"",IF(Q39&lt;0.1,1,IF(Q39&lt;1,2,IF(Q39&lt;10,3,IF(Q39&lt;50,4,IF(Q39&gt;=50,5,""))))))</f>
        <v>2</v>
      </c>
      <c r="S39" s="217" t="n">
        <f aca="false">IF(ISERROR(R39*I39),0,R39*I39)</f>
        <v>20</v>
      </c>
      <c r="T39" s="217" t="n">
        <f aca="false">IF(ISERROR(R39*I39*J39),0,R39*I39*J39)</f>
        <v>40</v>
      </c>
      <c r="U39" s="229" t="n">
        <f aca="false">IF(ISERROR(R39*J39),0,R39*J39)</f>
        <v>4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>SCISYL</v>
      </c>
      <c r="Z39" s="10" t="n">
        <f aca="false">IF(ISERROR(MATCH(A39,'[1]liste reference'!$A$8:$A$904,0)),IF(ISERROR(MATCH(A39,'[1]liste reference'!$B$8:$B$904,0)),"",(MATCH(A39,'[1]liste reference'!$B$8:$B$904,0))),(MATCH(A39,'[1]liste reference'!$A$8:$A$904,0)))</f>
        <v>665</v>
      </c>
      <c r="AA39" s="221"/>
      <c r="AB39" s="222"/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 t="s">
        <v>94</v>
      </c>
      <c r="B40" s="224" t="n">
        <v>0</v>
      </c>
      <c r="C40" s="225" t="n">
        <v>0.1</v>
      </c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>Sparganium erectum</v>
      </c>
      <c r="E40" s="226" t="e">
        <f aca="false">IF(D40="",0,VLOOKUP(D40,D$22:D39,1,0))</f>
        <v>#N/A</v>
      </c>
      <c r="F40" s="231" t="n">
        <f aca="false">($B40*$B$7+$C40*$C$7)/100</f>
        <v>0.01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PHe</v>
      </c>
      <c r="H40" s="210" t="n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8</v>
      </c>
      <c r="I40" s="211" t="n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>10</v>
      </c>
      <c r="J40" s="211" t="n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>1</v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Sparganium erectum</v>
      </c>
      <c r="L40" s="228"/>
      <c r="M40" s="228"/>
      <c r="N40" s="228"/>
      <c r="O40" s="214"/>
      <c r="P40" s="215" t="n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1671</v>
      </c>
      <c r="Q40" s="216" t="n">
        <f aca="false">IF(ISTEXT(H40),"",(B40*$B$7/100)+(C40*$C$7/100))</f>
        <v>0.01</v>
      </c>
      <c r="R40" s="217" t="n">
        <f aca="false">IF(OR(ISTEXT(H40),Q40=0),"",IF(Q40&lt;0.1,1,IF(Q40&lt;1,2,IF(Q40&lt;10,3,IF(Q40&lt;50,4,IF(Q40&gt;=50,5,""))))))</f>
        <v>1</v>
      </c>
      <c r="S40" s="217" t="n">
        <f aca="false">IF(ISERROR(R40*I40),0,R40*I40)</f>
        <v>10</v>
      </c>
      <c r="T40" s="217" t="n">
        <f aca="false">IF(ISERROR(R40*I40*J40),0,R40*I40*J40)</f>
        <v>10</v>
      </c>
      <c r="U40" s="229" t="n">
        <f aca="false">IF(ISERROR(R40*J40),0,R40*J40)</f>
        <v>1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>SPAERE</v>
      </c>
      <c r="Z40" s="10" t="n">
        <f aca="false">IF(ISERROR(MATCH(A40,'[1]liste reference'!$A$8:$A$904,0)),IF(ISERROR(MATCH(A40,'[1]liste reference'!$B$8:$B$904,0)),"",(MATCH(A40,'[1]liste reference'!$B$8:$B$904,0))),(MATCH(A40,'[1]liste reference'!$A$8:$A$904,0)))</f>
        <v>668</v>
      </c>
      <c r="AA40" s="221"/>
      <c r="AB40" s="222"/>
      <c r="AC40" s="222"/>
      <c r="BB40" s="10" t="n">
        <f aca="false">IF(A40="","",1)</f>
        <v>1</v>
      </c>
    </row>
    <row r="41" customFormat="false" ht="12.75" hidden="false" customHeight="false" outlineLevel="0" collapsed="false">
      <c r="A41" s="223" t="s">
        <v>95</v>
      </c>
      <c r="B41" s="224" t="n">
        <v>1</v>
      </c>
      <c r="C41" s="225" t="n">
        <v>0.1</v>
      </c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>Veronica anagallis-aquatica</v>
      </c>
      <c r="E41" s="226" t="e">
        <f aca="false">IF(D41="",0,VLOOKUP(D41,D$22:D40,1,0))</f>
        <v>#N/A</v>
      </c>
      <c r="F41" s="231" t="n">
        <f aca="false">($B41*$B$7+$C41*$C$7)/100</f>
        <v>0.91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>PHe</v>
      </c>
      <c r="H41" s="210" t="n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8</v>
      </c>
      <c r="I41" s="211" t="n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>11</v>
      </c>
      <c r="J41" s="211" t="n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>2</v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>Veronica anagallis-aquatica</v>
      </c>
      <c r="L41" s="228"/>
      <c r="M41" s="228"/>
      <c r="N41" s="228"/>
      <c r="O41" s="214"/>
      <c r="P41" s="215" t="n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>1955</v>
      </c>
      <c r="Q41" s="216" t="n">
        <f aca="false">IF(ISTEXT(H41),"",(B41*$B$7/100)+(C41*$C$7/100))</f>
        <v>0.91</v>
      </c>
      <c r="R41" s="217" t="n">
        <f aca="false">IF(OR(ISTEXT(H41),Q41=0),"",IF(Q41&lt;0.1,1,IF(Q41&lt;1,2,IF(Q41&lt;10,3,IF(Q41&lt;50,4,IF(Q41&gt;=50,5,""))))))</f>
        <v>2</v>
      </c>
      <c r="S41" s="217" t="n">
        <f aca="false">IF(ISERROR(R41*I41),0,R41*I41)</f>
        <v>22</v>
      </c>
      <c r="T41" s="217" t="n">
        <f aca="false">IF(ISERROR(R41*I41*J41),0,R41*I41*J41)</f>
        <v>44</v>
      </c>
      <c r="U41" s="229" t="n">
        <f aca="false">IF(ISERROR(R41*J41),0,R41*J41)</f>
        <v>4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>VERANA</v>
      </c>
      <c r="Z41" s="10" t="n">
        <f aca="false">IF(ISERROR(MATCH(A41,'[1]liste reference'!$A$8:$A$904,0)),IF(ISERROR(MATCH(A41,'[1]liste reference'!$B$8:$B$904,0)),"",(MATCH(A41,'[1]liste reference'!$B$8:$B$904,0))),(MATCH(A41,'[1]liste reference'!$A$8:$A$904,0)))</f>
        <v>682</v>
      </c>
      <c r="AA41" s="221"/>
      <c r="AB41" s="222"/>
      <c r="AC41" s="222"/>
      <c r="BB41" s="10" t="n">
        <f aca="false">IF(A41="","",1)</f>
        <v>1</v>
      </c>
    </row>
    <row r="42" customFormat="false" ht="12.75" hidden="false" customHeight="false" outlineLevel="0" collapsed="false">
      <c r="A42" s="223" t="s">
        <v>96</v>
      </c>
      <c r="B42" s="224" t="n">
        <v>0</v>
      </c>
      <c r="C42" s="225" t="n">
        <v>0.01</v>
      </c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>Filipendula ulmaria</v>
      </c>
      <c r="E42" s="226" t="e">
        <f aca="false">IF(D42="",0,VLOOKUP(D42,D$22:D41,1,0))</f>
        <v>#N/A</v>
      </c>
      <c r="F42" s="231" t="n">
        <f aca="false">($B42*$B$7+$C42*$C$7)/100</f>
        <v>0.001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>PHg</v>
      </c>
      <c r="H42" s="210" t="n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9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>Filipendula ulmaria</v>
      </c>
      <c r="L42" s="228"/>
      <c r="M42" s="228"/>
      <c r="N42" s="228"/>
      <c r="O42" s="214"/>
      <c r="P42" s="215" t="n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>1919</v>
      </c>
      <c r="Q42" s="216" t="n">
        <f aca="false">IF(ISTEXT(H42),"",(B42*$B$7/100)+(C42*$C$7/100))</f>
        <v>0.001</v>
      </c>
      <c r="R42" s="217" t="n">
        <f aca="false">IF(OR(ISTEXT(H42),Q42=0),"",IF(Q42&lt;0.1,1,IF(Q42&lt;1,2,IF(Q42&lt;10,3,IF(Q42&lt;50,4,IF(Q42&gt;=50,5,""))))))</f>
        <v>1</v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>FILULM</v>
      </c>
      <c r="Z42" s="10" t="n">
        <f aca="false">IF(ISERROR(MATCH(A42,'[1]liste reference'!$A$8:$A$904,0)),IF(ISERROR(MATCH(A42,'[1]liste reference'!$B$8:$B$904,0)),"",(MATCH(A42,'[1]liste reference'!$B$8:$B$904,0))),(MATCH(A42,'[1]liste reference'!$A$8:$A$904,0)))</f>
        <v>751</v>
      </c>
      <c r="AA42" s="221"/>
      <c r="AB42" s="222"/>
      <c r="AC42" s="222"/>
      <c r="BB42" s="10" t="n">
        <f aca="false">IF(A42="","",1)</f>
        <v>1</v>
      </c>
    </row>
    <row r="43" customFormat="false" ht="12.75" hidden="false" customHeight="false" outlineLevel="0" collapsed="false">
      <c r="A43" s="223" t="s">
        <v>97</v>
      </c>
      <c r="B43" s="224" t="n">
        <v>0</v>
      </c>
      <c r="C43" s="225" t="n">
        <v>0.01</v>
      </c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>Scrophularia sp.</v>
      </c>
      <c r="E43" s="226" t="e">
        <f aca="false">IF(D43="",0,VLOOKUP(D43,D$22:D42,1,0))</f>
        <v>#N/A</v>
      </c>
      <c r="F43" s="231" t="n">
        <f aca="false">($B43*$B$7+$C43*$C$7)/100</f>
        <v>0.001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>PHg</v>
      </c>
      <c r="H43" s="210" t="n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9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>Scrophularia sp.</v>
      </c>
      <c r="L43" s="228"/>
      <c r="M43" s="228"/>
      <c r="N43" s="228"/>
      <c r="O43" s="214"/>
      <c r="P43" s="215" t="n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>1949</v>
      </c>
      <c r="Q43" s="216" t="n">
        <f aca="false">IF(ISTEXT(H43),"",(B43*$B$7/100)+(C43*$C$7/100))</f>
        <v>0.001</v>
      </c>
      <c r="R43" s="217" t="n">
        <f aca="false">IF(OR(ISTEXT(H43),Q43=0),"",IF(Q43&lt;0.1,1,IF(Q43&lt;1,2,IF(Q43&lt;10,3,IF(Q43&lt;50,4,IF(Q43&gt;=50,5,""))))))</f>
        <v>1</v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>SCRSPX</v>
      </c>
      <c r="Z43" s="10" t="n">
        <f aca="false">IF(ISERROR(MATCH(A43,'[1]liste reference'!$A$8:$A$904,0)),IF(ISERROR(MATCH(A43,'[1]liste reference'!$B$8:$B$904,0)),"",(MATCH(A43,'[1]liste reference'!$B$8:$B$904,0))),(MATCH(A43,'[1]liste reference'!$A$8:$A$904,0)))</f>
        <v>817</v>
      </c>
      <c r="AA43" s="221"/>
      <c r="AB43" s="222"/>
      <c r="AC43" s="222"/>
      <c r="BB43" s="10" t="n">
        <f aca="false">IF(A43="","",1)</f>
        <v>1</v>
      </c>
    </row>
    <row r="44" customFormat="false" ht="12.75" hidden="false" customHeight="false" outlineLevel="0" collapsed="false">
      <c r="A44" s="223" t="s">
        <v>98</v>
      </c>
      <c r="B44" s="224" t="n">
        <v>0</v>
      </c>
      <c r="C44" s="225" t="n">
        <v>0.01</v>
      </c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0.001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>    -</v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>Salix fragilis</v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>No</v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>newcod</v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 t="s">
        <v>99</v>
      </c>
      <c r="AC44" s="222"/>
      <c r="BB44" s="10" t="n">
        <f aca="false">IF(A44="","",1)</f>
        <v>1</v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100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BOURNE</v>
      </c>
      <c r="B84" s="259" t="str">
        <f aca="false">C3</f>
        <v>BOURNE A VILLARD DE LANS</v>
      </c>
      <c r="C84" s="260" t="n">
        <f aca="false">A4</f>
        <v>41465</v>
      </c>
      <c r="D84" s="261" t="n">
        <f aca="false">IF(ISERROR(SUM($T$23:$T$82)/SUM($U$23:$U$82)),"",SUM($T$23:$T$82)/SUM($U$23:$U$82))</f>
        <v>11.8181818181818</v>
      </c>
      <c r="E84" s="262" t="n">
        <f aca="false">N13</f>
        <v>22</v>
      </c>
      <c r="F84" s="259" t="n">
        <f aca="false">N14</f>
        <v>14</v>
      </c>
      <c r="G84" s="259" t="n">
        <f aca="false">N15</f>
        <v>5</v>
      </c>
      <c r="H84" s="259" t="n">
        <f aca="false">N16</f>
        <v>9</v>
      </c>
      <c r="I84" s="259" t="n">
        <f aca="false">N17</f>
        <v>0</v>
      </c>
      <c r="J84" s="263" t="n">
        <f aca="false">N8</f>
        <v>11.5</v>
      </c>
      <c r="K84" s="261" t="n">
        <f aca="false">N9</f>
        <v>2.89704282723904</v>
      </c>
      <c r="L84" s="262" t="n">
        <f aca="false">N10</f>
        <v>4</v>
      </c>
      <c r="M84" s="262" t="n">
        <f aca="false">N11</f>
        <v>16</v>
      </c>
      <c r="N84" s="261" t="n">
        <f aca="false">O8</f>
        <v>1.64285714285714</v>
      </c>
      <c r="O84" s="261" t="n">
        <f aca="false">O9</f>
        <v>0.479157423749955</v>
      </c>
      <c r="P84" s="262" t="n">
        <f aca="false">O10</f>
        <v>1</v>
      </c>
      <c r="Q84" s="262" t="n">
        <f aca="false">O11</f>
        <v>2</v>
      </c>
      <c r="R84" s="262" t="n">
        <f aca="false">F21</f>
        <v>32.71</v>
      </c>
      <c r="S84" s="262" t="n">
        <f aca="false">K11</f>
        <v>0</v>
      </c>
      <c r="T84" s="262" t="n">
        <f aca="false">K12</f>
        <v>3</v>
      </c>
      <c r="U84" s="262" t="n">
        <f aca="false">K13</f>
        <v>4</v>
      </c>
      <c r="V84" s="264" t="n">
        <f aca="false">K14</f>
        <v>0</v>
      </c>
      <c r="W84" s="265" t="n">
        <f aca="false">K15</f>
        <v>14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101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102</v>
      </c>
      <c r="R87" s="10"/>
      <c r="S87" s="218" t="n">
        <f aca="false">VLOOKUP(MAX($S$23:$S$82),($S$23:$U$82),1,0)</f>
        <v>40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103</v>
      </c>
      <c r="R88" s="10"/>
      <c r="S88" s="218" t="n">
        <f aca="false">VLOOKUP((S87),($S$23:$U$82),2,0)</f>
        <v>40</v>
      </c>
      <c r="T88" s="10"/>
      <c r="U88" s="10"/>
      <c r="V88" s="10"/>
    </row>
    <row r="89" customFormat="false" ht="12.75" hidden="true" customHeight="false" outlineLevel="0" collapsed="false">
      <c r="Q89" s="10" t="s">
        <v>104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105</v>
      </c>
      <c r="R90" s="10"/>
      <c r="S90" s="268" t="n">
        <f aca="false">IF(ISERROR(SUM($T$23:$T$82)/SUM($U$23:$U$82)),"",(SUM($T$23:$T$82)-S88)/(SUM($U$23:$U$82)-S89))</f>
        <v>12</v>
      </c>
      <c r="T90" s="10"/>
    </row>
    <row r="91" customFormat="false" ht="12.75" hidden="false" customHeight="false" outlineLevel="0" collapsed="false">
      <c r="Q91" s="217" t="s">
        <v>106</v>
      </c>
      <c r="R91" s="217"/>
      <c r="S91" s="217" t="str">
        <f aca="false">INDEX('[1]liste reference'!$A$8:$A$904,$T$91)</f>
        <v>FONANT</v>
      </c>
      <c r="T91" s="10" t="n">
        <f aca="false">IF(ISERROR(MATCH($S$93,'[1]liste reference'!$A$8:$A$904,0)),MATCH($S$93,'[1]liste reference'!$B$8:$B$904,0),(MATCH($S$93,'[1]liste reference'!$A$8:$A$904,0)))</f>
        <v>210</v>
      </c>
      <c r="U91" s="257"/>
    </row>
    <row r="92" customFormat="false" ht="12.75" hidden="false" customHeight="false" outlineLevel="0" collapsed="false">
      <c r="Q92" s="10" t="s">
        <v>107</v>
      </c>
      <c r="R92" s="10"/>
      <c r="S92" s="10" t="n">
        <f aca="false">MATCH(S87,$S$23:$S$82,0)</f>
        <v>6</v>
      </c>
      <c r="T92" s="10"/>
    </row>
    <row r="93" customFormat="false" ht="12.75" hidden="false" customHeight="false" outlineLevel="0" collapsed="false">
      <c r="Q93" s="217" t="s">
        <v>108</v>
      </c>
      <c r="R93" s="10"/>
      <c r="S93" s="217" t="str">
        <f aca="false">INDEX($A$23:$A$82,$S$92)</f>
        <v>FONANT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2014-02-28T18:46:47Z</dcterms:created>
  <dc:creator>Laurent Bourgoin</dc:creator>
  <dc:description/>
  <dc:language>fr-FR</dc:language>
  <cp:lastModifiedBy>Laurent Bourgoin</cp:lastModifiedBy>
  <dcterms:modified xsi:type="dcterms:W3CDTF">2014-02-28T18:46:57Z</dcterms:modified>
  <cp:revision>0</cp:revision>
  <dc:subject/>
  <dc:title/>
</cp:coreProperties>
</file>