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<sst xmlns="http://schemas.openxmlformats.org/spreadsheetml/2006/main" count="175" uniqueCount="109">
  <si>
    <t xml:space="preserve">Relevés floristiques aquatiques - IBMR</t>
  </si>
  <si>
    <t xml:space="preserve">modèle Irstea-GIS</t>
  </si>
  <si>
    <t xml:space="preserve">SAGE</t>
  </si>
  <si>
    <t xml:space="preserve">P.Belly S.Renahy</t>
  </si>
  <si>
    <t xml:space="preserve">Bourne</t>
  </si>
  <si>
    <t xml:space="preserve">Bourne à Choranche</t>
  </si>
  <si>
    <t xml:space="preserve">06147525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</si>
  <si>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</si>
  <si>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</si>
  <si>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</si>
  <si>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</si>
  <si>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</si>
  <si>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</si>
  <si>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</si>
  <si>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</si>
  <si>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</si>
  <si>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FONANT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</si>
  <si>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</si>
  <si>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</si>
  <si>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</si>
  <si>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</si>
  <si>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</si>
  <si>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</si>
  <si>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</si>
  <si>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</si>
  <si>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</si>
  <si>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</si>
  <si>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</si>
  <si>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</si>
  <si>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</si>
  <si>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</si>
  <si>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</si>
  <si>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</si>
  <si>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</si>
  <si>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</si>
  <si>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</si>
  <si>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</si>
  <si>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</si>
  <si>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</si>
  <si>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</si>
  <si>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</si>
  <si>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</si>
  <si>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</si>
  <si>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</si>
  <si>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</si>
  <si>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</si>
  <si>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</si>
  <si>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</si>
  <si>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</si>
  <si>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</si>
  <si>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</si>
  <si>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</si>
  <si>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</si>
  <si>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</si>
  <si>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</si>
  <si>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</si>
  <si>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</si>
  <si>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</si>
  <si>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</si>
  <si>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</si>
  <si>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</si>
  <si>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</si>
  <si>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</si>
  <si>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</si>
  <si>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</si>
  <si>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</si>
  <si>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</si>
  <si>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</si>
  <si>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</si>
  <si>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</si>
  <si>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</si>
  <si>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</si>
  <si>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</si>
  <si>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</si>
  <si>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</si>
  <si>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</si>
  <si>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</si>
  <si>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</si>
  <si>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</si>
  <si>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</si>
  <si>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</si>
  <si>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DRASPX</t>
  </si>
  <si>
    <t xml:space="preserve">MELSPX</t>
  </si>
  <si>
    <t xml:space="preserve">MOOSPX</t>
  </si>
  <si>
    <t xml:space="preserve">NOSSPX</t>
  </si>
  <si>
    <t xml:space="preserve">TETSPX</t>
  </si>
  <si>
    <t xml:space="preserve">ULOSPX</t>
  </si>
  <si>
    <t xml:space="preserve">CINFON</t>
  </si>
  <si>
    <t xml:space="preserve">CINRIP</t>
  </si>
  <si>
    <t xml:space="preserve">PALCOM</t>
  </si>
  <si>
    <t xml:space="preserve">RHYRIP</t>
  </si>
  <si>
    <t xml:space="preserve">GRODEN</t>
  </si>
  <si>
    <t xml:space="preserve">SPAEME</t>
  </si>
  <si>
    <t xml:space="preserve">BERERE</t>
  </si>
  <si>
    <t xml:space="preserve">CAHPAL</t>
  </si>
  <si>
    <t xml:space="preserve">GLYFLU</t>
  </si>
  <si>
    <t xml:space="preserve">MENLON</t>
  </si>
  <si>
    <t xml:space="preserve">VERANA</t>
  </si>
  <si>
    <t xml:space="preserve">EPIHIR</t>
  </si>
  <si>
    <t xml:space="preserve">FILULM</t>
  </si>
  <si>
    <t xml:space="preserve">CARSPX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</si>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</sst>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BOVIL_09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12.125</v>
      </c>
      <c r="N5" s="51"/>
      <c r="O5" s="52" t="s">
        <v>16</v>
      </c>
      <c r="P5" s="53" t="n">
        <v>12.4285714285714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70</v>
      </c>
      <c r="C7" s="69" t="n">
        <v>30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11.5882352941176</v>
      </c>
      <c r="P8" s="83" t="n">
        <f aca="false">IF(ISERROR(AVERAGE(K23:K82)),"  ",AVERAGE(K23:K82))</f>
        <v>1.58823529411765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22.35</v>
      </c>
      <c r="C9" s="86" t="n">
        <v>20.09</v>
      </c>
      <c r="D9" s="87"/>
      <c r="E9" s="87"/>
      <c r="F9" s="88" t="n">
        <f aca="false">($B9*$B$7+$C9*$C$7)/100</f>
        <v>21.672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2.82965022842487</v>
      </c>
      <c r="P9" s="83" t="n">
        <f aca="false">IF(ISERROR(STDEVP(K23:K82)),"  ",STDEVP(K23:K82))</f>
        <v>0.599884648657975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18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0.18</v>
      </c>
      <c r="C12" s="111" t="n">
        <v>0.03</v>
      </c>
      <c r="D12" s="87"/>
      <c r="E12" s="87"/>
      <c r="F12" s="104" t="n">
        <f aca="false">($B12*$B$7+$C12*$C$7)/100</f>
        <v>0.135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7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21.14</v>
      </c>
      <c r="C13" s="111" t="n">
        <v>20</v>
      </c>
      <c r="D13" s="87"/>
      <c r="E13" s="87"/>
      <c r="F13" s="104" t="n">
        <f aca="false">($B13*$B$7+$C13*$C$7)/100</f>
        <v>20.798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5</v>
      </c>
      <c r="M13" s="108"/>
      <c r="N13" s="116" t="s">
        <v>41</v>
      </c>
      <c r="O13" s="117" t="n">
        <f aca="false">COUNTIF(F23:F82,"&gt;0")</f>
        <v>22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17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 t="n">
        <v>1.03</v>
      </c>
      <c r="C15" s="124" t="n">
        <v>0.06</v>
      </c>
      <c r="D15" s="87"/>
      <c r="E15" s="87"/>
      <c r="F15" s="104" t="n">
        <f aca="false">($B15*$B$7+$C15*$C$7)/100</f>
        <v>0.739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10</v>
      </c>
      <c r="M15" s="108"/>
      <c r="N15" s="116" t="s">
        <v>47</v>
      </c>
      <c r="O15" s="117" t="n">
        <f aca="false">COUNTIF(K23:K82,"=1")</f>
        <v>8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8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22.32</v>
      </c>
      <c r="C17" s="111" t="n">
        <v>20.03</v>
      </c>
      <c r="D17" s="87"/>
      <c r="E17" s="87"/>
      <c r="F17" s="129"/>
      <c r="G17" s="130" t="n">
        <f aca="false">($B17*$B$7+$C17*$C$7)/100</f>
        <v>21.633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0.772727272727273</v>
      </c>
      <c r="N17" s="116" t="s">
        <v>52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 t="n">
        <v>0.03</v>
      </c>
      <c r="C18" s="138" t="n">
        <v>0.06</v>
      </c>
      <c r="D18" s="87"/>
      <c r="E18" s="139" t="s">
        <v>54</v>
      </c>
      <c r="F18" s="129"/>
      <c r="G18" s="130" t="n">
        <f aca="false">($B18*$B$7+$C18*$C$7)/100</f>
        <v>0.039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21.672</v>
      </c>
      <c r="G19" s="150" t="n">
        <f aca="false">SUM(G16:G18)</f>
        <v>21.672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22.35</v>
      </c>
      <c r="C20" s="160" t="n">
        <f aca="false">SUM(C23:C62)</f>
        <v>20.09</v>
      </c>
      <c r="D20" s="161"/>
      <c r="E20" s="162" t="s">
        <v>54</v>
      </c>
      <c r="F20" s="163" t="n">
        <f aca="false">($B20*$B$7+$C20*$C$7)/100</f>
        <v>21.672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15.645</v>
      </c>
      <c r="C21" s="171" t="n">
        <f aca="false">C20*C7/100</f>
        <v>6.027</v>
      </c>
      <c r="D21" s="172" t="s">
        <v>57</v>
      </c>
      <c r="E21" s="173"/>
      <c r="F21" s="174" t="n">
        <f aca="false">B21+C21</f>
        <v>21.672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0.01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0.007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0.007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0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Draparnaldia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0.003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18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3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Draparnaldia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1118</v>
      </c>
      <c r="R24" s="211" t="n">
        <f aca="false">IF(ISTEXT(H24),"",(B24*$B$7/100)+(C24*$C$7/100))</f>
        <v>0.003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18</v>
      </c>
      <c r="U24" s="212" t="n">
        <f aca="false">IF(ISERROR(S24*J24*K24),0,S24*J24*K24)</f>
        <v>54</v>
      </c>
      <c r="V24" s="228" t="n">
        <f aca="false">IF(ISERROR(S24*K24),0,S24*K24)</f>
        <v>3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DRASPX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42</v>
      </c>
    </row>
    <row r="25" customFormat="false" ht="12.75" hidden="false" customHeight="false" outlineLevel="0" collapsed="false">
      <c r="A25" s="216" t="s">
        <v>82</v>
      </c>
      <c r="B25" s="217" t="n">
        <v>0.02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Melosira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0.017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10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Melosira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8714</v>
      </c>
      <c r="R25" s="211" t="n">
        <f aca="false">IF(ISTEXT(H25),"",(B25*$B$7/100)+(C25*$C$7/100))</f>
        <v>0.017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10</v>
      </c>
      <c r="U25" s="212" t="n">
        <f aca="false">IF(ISERROR(S25*J25*K25),0,S25*J25*K25)</f>
        <v>10</v>
      </c>
      <c r="V25" s="228" t="n">
        <f aca="false">IF(ISERROR(S25*K25),0,S25*K25)</f>
        <v>1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MELSPX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62</v>
      </c>
    </row>
    <row r="26" customFormat="false" ht="12.75" hidden="false" customHeight="false" outlineLevel="0" collapsed="false">
      <c r="A26" s="216" t="s">
        <v>83</v>
      </c>
      <c r="B26" s="217" t="n">
        <v>0.01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Monostroma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0.007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13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Monostroma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6010</v>
      </c>
      <c r="R26" s="211" t="n">
        <f aca="false">IF(ISTEXT(H26),"",(B26*$B$7/100)+(C26*$C$7/100))</f>
        <v>0.007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13</v>
      </c>
      <c r="U26" s="212" t="n">
        <f aca="false">IF(ISERROR(S26*J26*K26),0,S26*J26*K26)</f>
        <v>26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MOOSPX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67</v>
      </c>
    </row>
    <row r="27" customFormat="false" ht="12.75" hidden="false" customHeight="false" outlineLevel="0" collapsed="false">
      <c r="A27" s="216" t="s">
        <v>84</v>
      </c>
      <c r="B27" s="217" t="n">
        <v>0</v>
      </c>
      <c r="C27" s="218" t="n">
        <v>0.01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Nostoc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0.003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9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Nostoc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1105</v>
      </c>
      <c r="R27" s="211" t="n">
        <f aca="false">IF(ISTEXT(H27),"",(B27*$B$7/100)+(C27*$C$7/100))</f>
        <v>0.003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9</v>
      </c>
      <c r="U27" s="212" t="n">
        <f aca="false">IF(ISERROR(S27*J27*K27),0,S27*J27*K27)</f>
        <v>9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NOSSPX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84</v>
      </c>
    </row>
    <row r="28" customFormat="false" ht="12.75" hidden="false" customHeight="false" outlineLevel="0" collapsed="false">
      <c r="A28" s="216" t="s">
        <v>85</v>
      </c>
      <c r="B28" s="217" t="n">
        <v>0.02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Tetraspora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0.014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Tetraspora sp.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1138</v>
      </c>
      <c r="R28" s="211" t="n">
        <f aca="false">IF(ISTEXT(H28),"",(B28*$B$7/100)+(C28*$C$7/100))</f>
        <v>0.014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12</v>
      </c>
      <c r="U28" s="212" t="n">
        <f aca="false">IF(ISERROR(S28*J28*K28),0,S28*J28*K28)</f>
        <v>12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TETSPX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107</v>
      </c>
    </row>
    <row r="29" customFormat="false" ht="12.75" hidden="false" customHeight="false" outlineLevel="0" collapsed="false">
      <c r="A29" s="216" t="s">
        <v>86</v>
      </c>
      <c r="B29" s="217" t="n">
        <v>0.12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Ulothrix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0.084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Ulothrix sp.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1142</v>
      </c>
      <c r="R29" s="211" t="n">
        <f aca="false">IF(ISTEXT(H29),"",(B29*$B$7/100)+(C29*$C$7/100))</f>
        <v>0.084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10</v>
      </c>
      <c r="U29" s="212" t="n">
        <f aca="false">IF(ISERROR(S29*J29*K29),0,S29*J29*K29)</f>
        <v>10</v>
      </c>
      <c r="V29" s="228" t="n">
        <f aca="false">IF(ISERROR(S29*K29),0,S29*K29)</f>
        <v>1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ULOSPX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116</v>
      </c>
    </row>
    <row r="30" customFormat="false" ht="12.75" hidden="false" customHeight="false" outlineLevel="0" collapsed="false">
      <c r="A30" s="216" t="s">
        <v>87</v>
      </c>
      <c r="B30" s="217" t="n">
        <v>0.01</v>
      </c>
      <c r="C30" s="218" t="n">
        <v>0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Cinclidotus fontinaloides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0.007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12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Cinclidotus fontinaloides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1320</v>
      </c>
      <c r="R30" s="211" t="n">
        <f aca="false">IF(ISTEXT(H30),"",(B30*$B$7/100)+(C30*$C$7/100))</f>
        <v>0.007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12</v>
      </c>
      <c r="U30" s="212" t="n">
        <f aca="false">IF(ISERROR(S30*J30*K30),0,S30*J30*K30)</f>
        <v>24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CINFON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223</v>
      </c>
    </row>
    <row r="31" customFormat="false" ht="12.75" hidden="false" customHeight="false" outlineLevel="0" collapsed="false">
      <c r="A31" s="216" t="s">
        <v>88</v>
      </c>
      <c r="B31" s="217" t="n">
        <v>0.01</v>
      </c>
      <c r="C31" s="218" t="n">
        <v>0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Cinclidotus riparius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0.007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13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2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Cinclidotus riparius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1321</v>
      </c>
      <c r="R31" s="211" t="n">
        <f aca="false">IF(ISTEXT(H31),"",(B31*$B$7/100)+(C31*$C$7/100))</f>
        <v>0.007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13</v>
      </c>
      <c r="U31" s="212" t="n">
        <f aca="false">IF(ISERROR(S31*J31*K31),0,S31*J31*K31)</f>
        <v>26</v>
      </c>
      <c r="V31" s="228" t="n">
        <f aca="false">IF(ISERROR(S31*K31),0,S31*K31)</f>
        <v>2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CINRIP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224</v>
      </c>
    </row>
    <row r="32" customFormat="false" ht="12.75" hidden="false" customHeight="false" outlineLevel="0" collapsed="false">
      <c r="A32" s="216" t="s">
        <v>16</v>
      </c>
      <c r="B32" s="217" t="n">
        <v>21</v>
      </c>
      <c r="C32" s="218" t="n">
        <v>20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Fontinalis antipyretica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20.7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BRm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5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10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1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Fontinalis antipyretica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1310</v>
      </c>
      <c r="R32" s="211" t="n">
        <f aca="false">IF(ISTEXT(H32),"",(B32*$B$7/100)+(C32*$C$7/100))</f>
        <v>20.7</v>
      </c>
      <c r="S32" s="212" t="n">
        <f aca="false">IF(OR(ISTEXT(H32),R32=0),"",IF(R32&lt;0.1,1,IF(R32&lt;1,2,IF(R32&lt;10,3,IF(R32&lt;50,4,IF(R32&gt;=50,5,""))))))</f>
        <v>4</v>
      </c>
      <c r="T32" s="212" t="n">
        <f aca="false">IF(ISERROR(S32*J32),0,S32*J32)</f>
        <v>40</v>
      </c>
      <c r="U32" s="212" t="n">
        <f aca="false">IF(ISERROR(S32*J32*K32),0,S32*J32*K32)</f>
        <v>40</v>
      </c>
      <c r="V32" s="228" t="n">
        <f aca="false">IF(ISERROR(S32*K32),0,S32*K32)</f>
        <v>4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FONANT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273</v>
      </c>
    </row>
    <row r="33" customFormat="false" ht="12.75" hidden="false" customHeight="false" outlineLevel="0" collapsed="false">
      <c r="A33" s="216" t="s">
        <v>89</v>
      </c>
      <c r="B33" s="217" t="n">
        <v>0.01</v>
      </c>
      <c r="C33" s="218" t="n">
        <v>0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Palustriella commutata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0.007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BRm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5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15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2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Palustriella commutata</v>
      </c>
      <c r="M33" s="225"/>
      <c r="N33" s="225"/>
      <c r="O33" s="225"/>
      <c r="P33" s="226" t="s">
        <v>80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19903</v>
      </c>
      <c r="R33" s="211" t="n">
        <f aca="false">IF(ISTEXT(H33),"",(B33*$B$7/100)+(C33*$C$7/100))</f>
        <v>0.007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15</v>
      </c>
      <c r="U33" s="212" t="n">
        <f aca="false">IF(ISERROR(S33*J33*K33),0,S33*J33*K33)</f>
        <v>30</v>
      </c>
      <c r="V33" s="228" t="n">
        <f aca="false">IF(ISERROR(S33*K33),0,S33*K33)</f>
        <v>2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PALCOM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309</v>
      </c>
    </row>
    <row r="34" customFormat="false" ht="12.75" hidden="false" customHeight="false" outlineLevel="0" collapsed="false">
      <c r="A34" s="216" t="s">
        <v>90</v>
      </c>
      <c r="B34" s="217" t="n">
        <v>0.11</v>
      </c>
      <c r="C34" s="218" t="n">
        <v>0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Rhynchostegium riparioides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0.077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BRm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5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12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1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Rhynchostegium riparioides</v>
      </c>
      <c r="M34" s="225"/>
      <c r="N34" s="225"/>
      <c r="O34" s="225"/>
      <c r="P34" s="226" t="s">
        <v>80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31691</v>
      </c>
      <c r="R34" s="211" t="n">
        <f aca="false">IF(ISTEXT(H34),"",(B34*$B$7/100)+(C34*$C$7/100))</f>
        <v>0.077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12</v>
      </c>
      <c r="U34" s="212" t="n">
        <f aca="false">IF(ISERROR(S34*J34*K34),0,S34*J34*K34)</f>
        <v>12</v>
      </c>
      <c r="V34" s="228" t="n">
        <f aca="false">IF(ISERROR(S34*K34),0,S34*K34)</f>
        <v>1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RHYRIP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345</v>
      </c>
    </row>
    <row r="35" customFormat="false" ht="12.75" hidden="false" customHeight="false" outlineLevel="0" collapsed="false">
      <c r="A35" s="216" t="s">
        <v>91</v>
      </c>
      <c r="B35" s="217" t="n">
        <v>1</v>
      </c>
      <c r="C35" s="218" t="n">
        <v>0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Groenlandia densa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0.7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PHy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7</v>
      </c>
      <c r="I35" s="8" t="n">
        <f aca="false">IF(A35="","",1)</f>
        <v>1</v>
      </c>
      <c r="J35" s="224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11</v>
      </c>
      <c r="K35" s="224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2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Groenlandia densa</v>
      </c>
      <c r="M35" s="225"/>
      <c r="N35" s="225"/>
      <c r="O35" s="225"/>
      <c r="P35" s="226" t="s">
        <v>80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1638</v>
      </c>
      <c r="R35" s="211" t="n">
        <f aca="false">IF(ISTEXT(H35),"",(B35*$B$7/100)+(C35*$C$7/100))</f>
        <v>0.7</v>
      </c>
      <c r="S35" s="212" t="n">
        <f aca="false">IF(OR(ISTEXT(H35),R35=0),"",IF(R35&lt;0.1,1,IF(R35&lt;1,2,IF(R35&lt;10,3,IF(R35&lt;50,4,IF(R35&gt;=50,5,""))))))</f>
        <v>2</v>
      </c>
      <c r="T35" s="212" t="n">
        <f aca="false">IF(ISERROR(S35*J35),0,S35*J35)</f>
        <v>22</v>
      </c>
      <c r="U35" s="212" t="n">
        <f aca="false">IF(ISERROR(S35*J35*K35),0,S35*J35*K35)</f>
        <v>44</v>
      </c>
      <c r="V35" s="228" t="n">
        <f aca="false">IF(ISERROR(S35*K35),0,S35*K35)</f>
        <v>4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GRODEN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458</v>
      </c>
    </row>
    <row r="36" customFormat="false" ht="12.75" hidden="false" customHeight="false" outlineLevel="0" collapsed="false">
      <c r="A36" s="216" t="s">
        <v>92</v>
      </c>
      <c r="B36" s="217" t="n">
        <v>0.01</v>
      </c>
      <c r="C36" s="218" t="n">
        <v>0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Sparganium emersum except. fo. brevifolium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0.007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PHy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7</v>
      </c>
      <c r="I36" s="8" t="n">
        <f aca="false">IF(A36="","",1)</f>
        <v>1</v>
      </c>
      <c r="J36" s="224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7</v>
      </c>
      <c r="K36" s="224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1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Sparganium emersum except. fo. brevifolium</v>
      </c>
      <c r="M36" s="225"/>
      <c r="N36" s="225"/>
      <c r="O36" s="225"/>
      <c r="P36" s="226" t="s">
        <v>80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1670</v>
      </c>
      <c r="R36" s="211" t="n">
        <f aca="false">IF(ISTEXT(H36),"",(B36*$B$7/100)+(C36*$C$7/100))</f>
        <v>0.007</v>
      </c>
      <c r="S36" s="212" t="n">
        <f aca="false">IF(OR(ISTEXT(H36),R36=0),"",IF(R36&lt;0.1,1,IF(R36&lt;1,2,IF(R36&lt;10,3,IF(R36&lt;50,4,IF(R36&gt;=50,5,""))))))</f>
        <v>1</v>
      </c>
      <c r="T36" s="212" t="n">
        <f aca="false">IF(ISERROR(S36*J36),0,S36*J36)</f>
        <v>7</v>
      </c>
      <c r="U36" s="212" t="n">
        <f aca="false">IF(ISERROR(S36*J36*K36),0,S36*J36*K36)</f>
        <v>7</v>
      </c>
      <c r="V36" s="228" t="n">
        <f aca="false">IF(ISERROR(S36*K36),0,S36*K36)</f>
        <v>1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SPAEME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592</v>
      </c>
    </row>
    <row r="37" customFormat="false" ht="12.75" hidden="false" customHeight="false" outlineLevel="0" collapsed="false">
      <c r="A37" s="216" t="s">
        <v>93</v>
      </c>
      <c r="B37" s="217" t="n">
        <v>0.01</v>
      </c>
      <c r="C37" s="218" t="n">
        <v>0</v>
      </c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Berula erecta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0.007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PHe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8</v>
      </c>
      <c r="I37" s="8" t="n">
        <f aca="false">IF(A37="","",1)</f>
        <v>1</v>
      </c>
      <c r="J37" s="224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14</v>
      </c>
      <c r="K37" s="224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2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Berula erecta</v>
      </c>
      <c r="M37" s="225"/>
      <c r="N37" s="225"/>
      <c r="O37" s="225"/>
      <c r="P37" s="226" t="s">
        <v>80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1977</v>
      </c>
      <c r="R37" s="211" t="n">
        <f aca="false">IF(ISTEXT(H37),"",(B37*$B$7/100)+(C37*$C$7/100))</f>
        <v>0.007</v>
      </c>
      <c r="S37" s="212" t="n">
        <f aca="false">IF(OR(ISTEXT(H37),R37=0),"",IF(R37&lt;0.1,1,IF(R37&lt;1,2,IF(R37&lt;10,3,IF(R37&lt;50,4,IF(R37&gt;=50,5,""))))))</f>
        <v>1</v>
      </c>
      <c r="T37" s="212" t="n">
        <f aca="false">IF(ISERROR(S37*J37),0,S37*J37)</f>
        <v>14</v>
      </c>
      <c r="U37" s="212" t="n">
        <f aca="false">IF(ISERROR(S37*J37*K37),0,S37*J37*K37)</f>
        <v>28</v>
      </c>
      <c r="V37" s="228" t="n">
        <f aca="false">IF(ISERROR(S37*K37),0,S37*K37)</f>
        <v>2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BERERE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625</v>
      </c>
    </row>
    <row r="38" customFormat="false" ht="12.75" hidden="false" customHeight="false" outlineLevel="0" collapsed="false">
      <c r="A38" s="216" t="s">
        <v>94</v>
      </c>
      <c r="B38" s="217" t="n">
        <v>0</v>
      </c>
      <c r="C38" s="218" t="n">
        <v>0.01</v>
      </c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Caltha palustris</v>
      </c>
      <c r="E38" s="220" t="e">
        <f aca="false">IF(D38="",0,VLOOKUP(D38,D$22:D37,1,0))</f>
        <v>#N/A</v>
      </c>
      <c r="F38" s="221" t="n">
        <f aca="false">IF(AND(OR(A38="",A38="!!!!!!"),B38="",C38=""),"",IF(OR(AND(B38="",C38=""),ISERROR(C38+B38)),"!!!",($B38*$B$7+$C38*$C$7)/100))</f>
        <v>0.003</v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PHe</v>
      </c>
      <c r="H38" s="223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8</v>
      </c>
      <c r="I38" s="8" t="n">
        <f aca="false">IF(A38="","",1)</f>
        <v>1</v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nc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nc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Caltha palustris</v>
      </c>
      <c r="M38" s="225"/>
      <c r="N38" s="225"/>
      <c r="O38" s="225"/>
      <c r="P38" s="226" t="s">
        <v>80</v>
      </c>
      <c r="Q38" s="227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1893</v>
      </c>
      <c r="R38" s="211" t="n">
        <f aca="false">IF(ISTEXT(H38),"",(B38*$B$7/100)+(C38*$C$7/100))</f>
        <v>0.003</v>
      </c>
      <c r="S38" s="212" t="n">
        <f aca="false">IF(OR(ISTEXT(H38),R38=0),"",IF(R38&lt;0.1,1,IF(R38&lt;1,2,IF(R38&lt;10,3,IF(R38&lt;50,4,IF(R38&gt;=50,5,""))))))</f>
        <v>1</v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>CAHPAL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628</v>
      </c>
    </row>
    <row r="39" customFormat="false" ht="12.75" hidden="false" customHeight="false" outlineLevel="0" collapsed="false">
      <c r="A39" s="216" t="s">
        <v>95</v>
      </c>
      <c r="B39" s="217" t="n">
        <v>0.01</v>
      </c>
      <c r="C39" s="218" t="n">
        <v>0</v>
      </c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>Glyceria fluitans</v>
      </c>
      <c r="E39" s="220" t="e">
        <f aca="false">IF(D39="",0,VLOOKUP(D39,D$22:D38,1,0))</f>
        <v>#N/A</v>
      </c>
      <c r="F39" s="221" t="n">
        <f aca="false">IF(AND(OR(A39="",A39="!!!!!!"),B39="",C39=""),"",IF(OR(AND(B39="",C39=""),ISERROR(C39+B39)),"!!!",($B39*$B$7+$C39*$C$7)/100))</f>
        <v>0.007</v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>PHe</v>
      </c>
      <c r="H39" s="223" t="n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8</v>
      </c>
      <c r="I39" s="8" t="n">
        <f aca="false">IF(A39="","",1)</f>
        <v>1</v>
      </c>
      <c r="J39" s="224" t="n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14</v>
      </c>
      <c r="K39" s="224" t="n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2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>Glyceria fluitans</v>
      </c>
      <c r="M39" s="225"/>
      <c r="N39" s="225"/>
      <c r="O39" s="225"/>
      <c r="P39" s="226" t="s">
        <v>80</v>
      </c>
      <c r="Q39" s="227" t="n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>1564</v>
      </c>
      <c r="R39" s="211" t="n">
        <f aca="false">IF(ISTEXT(H39),"",(B39*$B$7/100)+(C39*$C$7/100))</f>
        <v>0.007</v>
      </c>
      <c r="S39" s="212" t="n">
        <f aca="false">IF(OR(ISTEXT(H39),R39=0),"",IF(R39&lt;0.1,1,IF(R39&lt;1,2,IF(R39&lt;10,3,IF(R39&lt;50,4,IF(R39&gt;=50,5,""))))))</f>
        <v>1</v>
      </c>
      <c r="T39" s="212" t="n">
        <f aca="false">IF(ISERROR(S39*J39),0,S39*J39)</f>
        <v>14</v>
      </c>
      <c r="U39" s="212" t="n">
        <f aca="false">IF(ISERROR(S39*J39*K39),0,S39*J39*K39)</f>
        <v>28</v>
      </c>
      <c r="V39" s="228" t="n">
        <f aca="false">IF(ISERROR(S39*K39),0,S39*K39)</f>
        <v>2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>GLYFLU</v>
      </c>
      <c r="Z39" s="197" t="n">
        <f aca="false">IF(ISERROR(MATCH(A39,'[1]liste reference'!$A$6:$A$1174,0)),IF(ISERROR(MATCH(A39,'[1]liste reference'!$B$6:$B$1174,0)),"",(MATCH(A39,'[1]liste reference'!$B$6:$B$1174,0))),(MATCH(A39,'[1]liste reference'!$A$6:$A$1174,0)))</f>
        <v>676</v>
      </c>
    </row>
    <row r="40" customFormat="false" ht="12.75" hidden="false" customHeight="false" outlineLevel="0" collapsed="false">
      <c r="A40" s="216" t="s">
        <v>96</v>
      </c>
      <c r="B40" s="217" t="n">
        <v>0</v>
      </c>
      <c r="C40" s="218" t="n">
        <v>0.01</v>
      </c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>Mentha longifolia</v>
      </c>
      <c r="E40" s="220" t="e">
        <f aca="false">IF(D40="",0,VLOOKUP(D40,D$22:D39,1,0))</f>
        <v>#N/A</v>
      </c>
      <c r="F40" s="221" t="n">
        <f aca="false">IF(AND(OR(A40="",A40="!!!!!!"),B40="",C40=""),"",IF(OR(AND(B40="",C40=""),ISERROR(C40+B40)),"!!!",($B40*$B$7+$C40*$C$7)/100))</f>
        <v>0.003</v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>PHe</v>
      </c>
      <c r="H40" s="223" t="n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8</v>
      </c>
      <c r="I40" s="8" t="n">
        <f aca="false">IF(A40="","",1)</f>
        <v>1</v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nc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nc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>Mentha longifolia</v>
      </c>
      <c r="M40" s="225"/>
      <c r="N40" s="225"/>
      <c r="O40" s="225"/>
      <c r="P40" s="226" t="s">
        <v>80</v>
      </c>
      <c r="Q40" s="227" t="n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>19856</v>
      </c>
      <c r="R40" s="211" t="n">
        <f aca="false">IF(ISTEXT(H40),"",(B40*$B$7/100)+(C40*$C$7/100))</f>
        <v>0.003</v>
      </c>
      <c r="S40" s="212" t="n">
        <f aca="false">IF(OR(ISTEXT(H40),R40=0),"",IF(R40&lt;0.1,1,IF(R40&lt;1,2,IF(R40&lt;10,3,IF(R40&lt;50,4,IF(R40&gt;=50,5,""))))))</f>
        <v>1</v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>MENLON</v>
      </c>
      <c r="Z40" s="197" t="n">
        <f aca="false">IF(ISERROR(MATCH(A40,'[1]liste reference'!$A$6:$A$1174,0)),IF(ISERROR(MATCH(A40,'[1]liste reference'!$B$6:$B$1174,0)),"",(MATCH(A40,'[1]liste reference'!$B$6:$B$1174,0))),(MATCH(A40,'[1]liste reference'!$A$6:$A$1174,0)))</f>
        <v>695</v>
      </c>
    </row>
    <row r="41" customFormat="false" ht="12.75" hidden="false" customHeight="false" outlineLevel="0" collapsed="false">
      <c r="A41" s="216" t="s">
        <v>97</v>
      </c>
      <c r="B41" s="217" t="n">
        <v>0</v>
      </c>
      <c r="C41" s="218" t="n">
        <v>0.01</v>
      </c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>Veronica anagallis-aquatica</v>
      </c>
      <c r="E41" s="220" t="e">
        <f aca="false">IF(D41="",0,VLOOKUP(D41,D$22:D40,1,0))</f>
        <v>#N/A</v>
      </c>
      <c r="F41" s="221" t="n">
        <f aca="false">IF(AND(OR(A41="",A41="!!!!!!"),B41="",C41=""),"",IF(OR(AND(B41="",C41=""),ISERROR(C41+B41)),"!!!",($B41*$B$7+$C41*$C$7)/100))</f>
        <v>0.003</v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>PHe</v>
      </c>
      <c r="H41" s="223" t="n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8</v>
      </c>
      <c r="I41" s="8" t="n">
        <f aca="false">IF(A41="","",1)</f>
        <v>1</v>
      </c>
      <c r="J41" s="224" t="n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11</v>
      </c>
      <c r="K41" s="224" t="n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2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>Veronica anagallis-aquatica</v>
      </c>
      <c r="M41" s="225"/>
      <c r="N41" s="225"/>
      <c r="O41" s="225"/>
      <c r="P41" s="226" t="s">
        <v>80</v>
      </c>
      <c r="Q41" s="227" t="n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>1955</v>
      </c>
      <c r="R41" s="211" t="n">
        <f aca="false">IF(ISTEXT(H41),"",(B41*$B$7/100)+(C41*$C$7/100))</f>
        <v>0.003</v>
      </c>
      <c r="S41" s="212" t="n">
        <f aca="false">IF(OR(ISTEXT(H41),R41=0),"",IF(R41&lt;0.1,1,IF(R41&lt;1,2,IF(R41&lt;10,3,IF(R41&lt;50,4,IF(R41&gt;=50,5,""))))))</f>
        <v>1</v>
      </c>
      <c r="T41" s="212" t="n">
        <f aca="false">IF(ISERROR(S41*J41),0,S41*J41)</f>
        <v>11</v>
      </c>
      <c r="U41" s="212" t="n">
        <f aca="false">IF(ISERROR(S41*J41*K41),0,S41*J41*K41)</f>
        <v>22</v>
      </c>
      <c r="V41" s="228" t="n">
        <f aca="false">IF(ISERROR(S41*K41),0,S41*K41)</f>
        <v>2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>VERANA</v>
      </c>
      <c r="Z41" s="197" t="n">
        <f aca="false">IF(ISERROR(MATCH(A41,'[1]liste reference'!$A$6:$A$1174,0)),IF(ISERROR(MATCH(A41,'[1]liste reference'!$B$6:$B$1174,0)),"",(MATCH(A41,'[1]liste reference'!$B$6:$B$1174,0))),(MATCH(A41,'[1]liste reference'!$A$6:$A$1174,0)))</f>
        <v>740</v>
      </c>
    </row>
    <row r="42" customFormat="false" ht="12.75" hidden="false" customHeight="false" outlineLevel="0" collapsed="false">
      <c r="A42" s="216" t="s">
        <v>98</v>
      </c>
      <c r="B42" s="217" t="n">
        <v>0</v>
      </c>
      <c r="C42" s="218" t="n">
        <v>0.01</v>
      </c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>Epilobium hirsutum</v>
      </c>
      <c r="E42" s="220" t="e">
        <f aca="false">IF(D42="",0,VLOOKUP(D42,D$22:D41,1,0))</f>
        <v>#N/A</v>
      </c>
      <c r="F42" s="221" t="n">
        <f aca="false">IF(AND(OR(A42="",A42="!!!!!!"),B42="",C42=""),"",IF(OR(AND(B42="",C42=""),ISERROR(C42+B42)),"!!!",($B42*$B$7+$C42*$C$7)/100))</f>
        <v>0.003</v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>PHg</v>
      </c>
      <c r="H42" s="223" t="n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9</v>
      </c>
      <c r="I42" s="8" t="n">
        <f aca="false">IF(A42="","",1)</f>
        <v>1</v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nc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nc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>Epilobium hirsutum</v>
      </c>
      <c r="M42" s="225"/>
      <c r="N42" s="225"/>
      <c r="O42" s="225"/>
      <c r="P42" s="226" t="s">
        <v>80</v>
      </c>
      <c r="Q42" s="227" t="n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>1846</v>
      </c>
      <c r="R42" s="211" t="n">
        <f aca="false">IF(ISTEXT(H42),"",(B42*$B$7/100)+(C42*$C$7/100))</f>
        <v>0.003</v>
      </c>
      <c r="S42" s="212" t="n">
        <f aca="false">IF(OR(ISTEXT(H42),R42=0),"",IF(R42&lt;0.1,1,IF(R42&lt;1,2,IF(R42&lt;10,3,IF(R42&lt;50,4,IF(R42&gt;=50,5,""))))))</f>
        <v>1</v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>EPIHIR</v>
      </c>
      <c r="Z42" s="197" t="n">
        <f aca="false">IF(ISERROR(MATCH(A42,'[1]liste reference'!$A$6:$A$1174,0)),IF(ISERROR(MATCH(A42,'[1]liste reference'!$B$6:$B$1174,0)),"",(MATCH(A42,'[1]liste reference'!$B$6:$B$1174,0))),(MATCH(A42,'[1]liste reference'!$A$6:$A$1174,0)))</f>
        <v>830</v>
      </c>
    </row>
    <row r="43" customFormat="false" ht="12.75" hidden="false" customHeight="false" outlineLevel="0" collapsed="false">
      <c r="A43" s="216" t="s">
        <v>99</v>
      </c>
      <c r="B43" s="217" t="n">
        <v>0</v>
      </c>
      <c r="C43" s="218" t="n">
        <v>0.01</v>
      </c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>Filipendula ulmaria</v>
      </c>
      <c r="E43" s="220" t="e">
        <f aca="false">IF(D43="",0,VLOOKUP(D43,D$22:D42,1,0))</f>
        <v>#N/A</v>
      </c>
      <c r="F43" s="221" t="n">
        <f aca="false">IF(AND(OR(A43="",A43="!!!!!!"),B43="",C43=""),"",IF(OR(AND(B43="",C43=""),ISERROR(C43+B43)),"!!!",($B43*$B$7+$C43*$C$7)/100))</f>
        <v>0.003</v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>PHg</v>
      </c>
      <c r="H43" s="223" t="n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9</v>
      </c>
      <c r="I43" s="8" t="n">
        <f aca="false">IF(A43="","",1)</f>
        <v>1</v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nc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nc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>Filipendula ulmaria</v>
      </c>
      <c r="M43" s="225"/>
      <c r="N43" s="225"/>
      <c r="O43" s="225"/>
      <c r="P43" s="226" t="s">
        <v>80</v>
      </c>
      <c r="Q43" s="227" t="n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>1919</v>
      </c>
      <c r="R43" s="211" t="n">
        <f aca="false">IF(ISTEXT(H43),"",(B43*$B$7/100)+(C43*$C$7/100))</f>
        <v>0.003</v>
      </c>
      <c r="S43" s="212" t="n">
        <f aca="false">IF(OR(ISTEXT(H43),R43=0),"",IF(R43&lt;0.1,1,IF(R43&lt;1,2,IF(R43&lt;10,3,IF(R43&lt;50,4,IF(R43&gt;=50,5,""))))))</f>
        <v>1</v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>FILULM</v>
      </c>
      <c r="Z43" s="197" t="n">
        <f aca="false">IF(ISERROR(MATCH(A43,'[1]liste reference'!$A$6:$A$1174,0)),IF(ISERROR(MATCH(A43,'[1]liste reference'!$B$6:$B$1174,0)),"",(MATCH(A43,'[1]liste reference'!$B$6:$B$1174,0))),(MATCH(A43,'[1]liste reference'!$A$6:$A$1174,0)))</f>
        <v>841</v>
      </c>
    </row>
    <row r="44" customFormat="false" ht="12.75" hidden="false" customHeight="false" outlineLevel="0" collapsed="false">
      <c r="A44" s="216" t="s">
        <v>100</v>
      </c>
      <c r="B44" s="217" t="n">
        <v>0</v>
      </c>
      <c r="C44" s="218" t="n">
        <v>0.01</v>
      </c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>Carex sp.</v>
      </c>
      <c r="E44" s="220" t="e">
        <f aca="false">IF(D44="",0,VLOOKUP(D44,D$22:D43,1,0))</f>
        <v>#N/A</v>
      </c>
      <c r="F44" s="221" t="n">
        <f aca="false">IF(AND(OR(A44="",A44="!!!!!!"),B44="",C44=""),"",IF(OR(AND(B44="",C44=""),ISERROR(C44+B44)),"!!!",($B44*$B$7+$C44*$C$7)/100))</f>
        <v>0.003</v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>PHx</v>
      </c>
      <c r="H44" s="223" t="n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10</v>
      </c>
      <c r="I44" s="8" t="n">
        <f aca="false">IF(A44="","",1)</f>
        <v>1</v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nc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nc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>Carex sp.</v>
      </c>
      <c r="M44" s="225"/>
      <c r="N44" s="225"/>
      <c r="O44" s="225"/>
      <c r="P44" s="226" t="s">
        <v>80</v>
      </c>
      <c r="Q44" s="227" t="n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>1466</v>
      </c>
      <c r="R44" s="211" t="n">
        <f aca="false">IF(ISTEXT(H44),"",(B44*$B$7/100)+(C44*$C$7/100))</f>
        <v>0.003</v>
      </c>
      <c r="S44" s="212" t="n">
        <f aca="false">IF(OR(ISTEXT(H44),R44=0),"",IF(R44&lt;0.1,1,IF(R44&lt;1,2,IF(R44&lt;10,3,IF(R44&lt;50,4,IF(R44&gt;=50,5,""))))))</f>
        <v>1</v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>CARSPX</v>
      </c>
      <c r="Z44" s="197" t="n">
        <f aca="false">IF(ISERROR(MATCH(A44,'[1]liste reference'!$A$6:$A$1174,0)),IF(ISERROR(MATCH(A44,'[1]liste reference'!$B$6:$B$1174,0)),"",(MATCH(A44,'[1]liste reference'!$B$6:$B$1174,0))),(MATCH(A44,'[1]liste reference'!$A$6:$A$1174,0)))</f>
        <v>1037</v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21.672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32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Bourne</v>
      </c>
      <c r="B84" s="180" t="str">
        <f aca="false">C3</f>
        <v>Bourne à Choranche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12.125</v>
      </c>
      <c r="E84" s="254" t="n">
        <f aca="false">O13</f>
        <v>22</v>
      </c>
      <c r="F84" s="180" t="n">
        <f aca="false">O14</f>
        <v>17</v>
      </c>
      <c r="G84" s="180" t="n">
        <f aca="false">O15</f>
        <v>8</v>
      </c>
      <c r="H84" s="180" t="n">
        <f aca="false">O16</f>
        <v>8</v>
      </c>
      <c r="I84" s="180" t="n">
        <f aca="false">O17</f>
        <v>1</v>
      </c>
      <c r="J84" s="255" t="n">
        <f aca="false">O8</f>
        <v>11.5882352941176</v>
      </c>
      <c r="K84" s="256" t="n">
        <f aca="false">O9</f>
        <v>2.82965022842487</v>
      </c>
      <c r="L84" s="257" t="n">
        <f aca="false">O10</f>
        <v>6</v>
      </c>
      <c r="M84" s="257" t="n">
        <f aca="false">O11</f>
        <v>18</v>
      </c>
      <c r="N84" s="256" t="n">
        <f aca="false">P8</f>
        <v>1.58823529411765</v>
      </c>
      <c r="O84" s="256" t="n">
        <f aca="false">P9</f>
        <v>0.599884648657975</v>
      </c>
      <c r="P84" s="257" t="n">
        <f aca="false">P10</f>
        <v>1</v>
      </c>
      <c r="Q84" s="257" t="n">
        <f aca="false">P11</f>
        <v>3</v>
      </c>
      <c r="R84" s="257" t="n">
        <f aca="false">F21</f>
        <v>21.672</v>
      </c>
      <c r="S84" s="257" t="n">
        <f aca="false">L11</f>
        <v>0</v>
      </c>
      <c r="T84" s="257" t="n">
        <f aca="false">L12</f>
        <v>7</v>
      </c>
      <c r="U84" s="257" t="n">
        <f aca="false">L13</f>
        <v>5</v>
      </c>
      <c r="V84" s="258" t="n">
        <f aca="false">L15</f>
        <v>10</v>
      </c>
      <c r="W84" s="259" t="n">
        <f aca="false">L15</f>
        <v>10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101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102</v>
      </c>
      <c r="S87" s="8"/>
      <c r="T87" s="263" t="n">
        <f aca="false">VLOOKUP($T$91,($A$23:$U$82),20,FALSE())</f>
        <v>40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103</v>
      </c>
      <c r="S88" s="8"/>
      <c r="T88" s="263" t="n">
        <f aca="false">VLOOKUP($T$91,($A$23:$U$82),21,FALSE())</f>
        <v>40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104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105</v>
      </c>
      <c r="S90" s="8" t="s">
        <v>10</v>
      </c>
      <c r="T90" s="264" t="n">
        <f aca="false">IF(OR(ISERROR(SUM($U$23:$U$82)/SUM($V$23:$V$82)),F7&lt;&gt;100),-1,(SUM($U$23:$U$82)-T88)/(SUM($V$23:$V$82)-T89))</f>
        <v>12.4285714285714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106</v>
      </c>
      <c r="S91" s="212"/>
      <c r="T91" s="212" t="str">
        <f aca="false">INDEX('[1]liste reference'!$A$6:$A$1174,$U$91)</f>
        <v>FONANT</v>
      </c>
      <c r="U91" s="8" t="n">
        <f aca="false">IF(ISERROR(MATCH($T$93,'[1]liste reference'!$A$6:$A$1174,0)),MATCH($T$93,'[1]liste reference'!$B$6:$B$1174,0),(MATCH($T$93,'[1]liste reference'!$A$6:$A$1174,0)))</f>
        <v>273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107</v>
      </c>
      <c r="S92" s="8"/>
      <c r="T92" s="8" t="n">
        <f aca="false">MATCH(T89,$V$23:$V$82,0)</f>
        <v>10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108</v>
      </c>
      <c r="S93" s="8"/>
      <c r="T93" s="212" t="str">
        <f aca="false">INDEX($A$23:$A$82,$T$92)</f>
        <v>FONANT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2016-04-01T09:25:50Z</dcterms:created>
  <dc:creator>Pierre-Edouard Belly</dc:creator>
  <dc:description/>
  <dc:language>fr-FR</dc:language>
  <cp:lastModifiedBy>Pierre-Edouard Belly</cp:lastModifiedBy>
  <dcterms:modified xsi:type="dcterms:W3CDTF">2016-04-01T09:25:52Z</dcterms:modified>
  <cp:revision>0</cp:revision>
  <dc:subject/>
  <dc:title/>
</cp:coreProperties>
</file>