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<sst xmlns="http://schemas.openxmlformats.org/spreadsheetml/2006/main" count="98" uniqueCount="94">
  <si>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</si>
  <si>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</si>
  <si>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</si>
  <si>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L.BOURGOIN M.GAUTHIER</t>
  </si>
  <si>
    <t xml:space="preserve">conforme AFNOR T90-395 oct. 2003</t>
  </si>
  <si>
    <t xml:space="preserve">ISERE</t>
  </si>
  <si>
    <t xml:space="preserve">ISERE A EYMEUX</t>
  </si>
  <si>
    <t xml:space="preserve">06148200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</si>
  <si>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</si>
  <si>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</si>
  <si>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</si>
  <si>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</si>
  <si>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</si>
  <si>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</si>
  <si>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</si>
  <si>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</si>
  <si>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MELSPX</t>
  </si>
  <si>
    <t xml:space="preserve">Faciès dominant</t>
  </si>
  <si>
    <t xml:space="preserve">chenal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</si>
  <si>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</si>
  <si>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</si>
  <si>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</si>
  <si>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</si>
  <si>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</si>
  <si>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</si>
  <si>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</si>
  <si>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</si>
  <si>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</si>
  <si>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</si>
  <si>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</si>
  <si>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</si>
  <si>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</si>
  <si>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</si>
  <si>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</si>
  <si>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</si>
  <si>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</si>
  <si>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</si>
  <si>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</si>
  <si>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</si>
  <si>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</si>
  <si>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</si>
  <si>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</si>
  <si>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</si>
  <si>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</si>
  <si>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</si>
  <si>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</si>
  <si>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</si>
  <si>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</si>
  <si>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</si>
  <si>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</si>
  <si>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</si>
  <si>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</si>
  <si>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</si>
  <si>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</si>
  <si>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</si>
  <si>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</si>
  <si>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</si>
  <si>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</si>
  <si>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</si>
  <si>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</si>
  <si>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</si>
  <si>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</si>
  <si>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</si>
  <si>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</si>
  <si>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</si>
  <si>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</si>
  <si>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</si>
  <si>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</si>
  <si>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</si>
  <si>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</si>
  <si>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</si>
  <si>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</si>
  <si>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</si>
  <si>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</si>
  <si>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</si>
  <si>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</si>
  <si>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</si>
  <si>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</si>
  <si>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RHISPX</t>
  </si>
  <si>
    <t xml:space="preserve">ULOSPX</t>
  </si>
  <si>
    <t xml:space="preserve">HYGLUR</t>
  </si>
  <si>
    <t xml:space="preserve">ORTRIV</t>
  </si>
  <si>
    <t xml:space="preserve">EQUSPX</t>
  </si>
  <si>
    <t xml:space="preserve">PHAARU</t>
  </si>
  <si>
    <t xml:space="preserve">SCISYL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</si>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</sst>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ISEYM_24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domntade.eaurmc.fr/aermc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12.2105263157895</v>
      </c>
      <c r="M5" s="53"/>
      <c r="N5" s="54" t="s">
        <v>16</v>
      </c>
      <c r="O5" s="55" t="n">
        <v>12.625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/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/>
      <c r="C7" s="67" t="n">
        <v>100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11.375</v>
      </c>
      <c r="O8" s="84" t="n">
        <f aca="false">IF(ISERROR(AVERAGE(J23:J82)),"      -",AVERAGE(J23:J82))</f>
        <v>1.875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 t="n">
        <v>1.5</v>
      </c>
      <c r="D9" s="88"/>
      <c r="E9" s="88"/>
      <c r="F9" s="89" t="n">
        <f aca="false">($B9*$B$7+$C9*$C$7)/100</f>
        <v>1.5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4.12121038045863</v>
      </c>
      <c r="O9" s="84" t="n">
        <f aca="false">IF(ISERROR(STDEVP(J23:J82)),"      -",STDEVP(J23:J82))</f>
        <v>0.7806247497998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9" t="s">
        <v>31</v>
      </c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/>
      <c r="C12" s="119" t="n">
        <v>1.5</v>
      </c>
      <c r="D12" s="111"/>
      <c r="E12" s="111"/>
      <c r="F12" s="112" t="n">
        <f aca="false">($B12*$B$7+$C12*$C$7)/100</f>
        <v>1.5</v>
      </c>
      <c r="G12" s="120"/>
      <c r="H12" s="68"/>
      <c r="I12" s="121" t="s">
        <v>38</v>
      </c>
      <c r="J12" s="121"/>
      <c r="K12" s="115" t="n">
        <f aca="false">COUNTIF($G$23:$G$82,"=ALG")</f>
        <v>4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 t="n">
        <v>0.001</v>
      </c>
      <c r="D13" s="111"/>
      <c r="E13" s="111"/>
      <c r="F13" s="112" t="n">
        <f aca="false">($B13*$B$7+$C13*$C$7)/100</f>
        <v>0.001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2</v>
      </c>
      <c r="L13" s="116"/>
      <c r="M13" s="127" t="s">
        <v>41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1</v>
      </c>
      <c r="L14" s="116"/>
      <c r="M14" s="131" t="s">
        <v>44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0.001</v>
      </c>
      <c r="D15" s="111"/>
      <c r="E15" s="111"/>
      <c r="F15" s="112" t="n">
        <f aca="false">($B15*$B$7+$C15*$C$7)/100</f>
        <v>0.001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47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/>
      <c r="C17" s="119" t="n">
        <v>1.501</v>
      </c>
      <c r="D17" s="111"/>
      <c r="E17" s="111"/>
      <c r="F17" s="143"/>
      <c r="G17" s="112" t="n">
        <f aca="false">($B17*$B$7+$C17*$C$7)/100</f>
        <v>1.501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0.001</v>
      </c>
      <c r="D18" s="111"/>
      <c r="E18" s="147" t="s">
        <v>53</v>
      </c>
      <c r="F18" s="143"/>
      <c r="G18" s="112" t="n">
        <f aca="false">($B18*$B$7+$C18*$C$7)/100</f>
        <v>0.001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1.502</v>
      </c>
      <c r="G19" s="156" t="n">
        <f aca="false">SUM(G16:G18)</f>
        <v>1.502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</v>
      </c>
      <c r="C20" s="166" t="n">
        <f aca="false">SUM(C23:C82)</f>
        <v>1.5035</v>
      </c>
      <c r="D20" s="167"/>
      <c r="E20" s="168" t="s">
        <v>53</v>
      </c>
      <c r="F20" s="169" t="n">
        <f aca="false">($B20*$B$7+$C20*$C$7)/100</f>
        <v>1.5035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</v>
      </c>
      <c r="C21" s="179" t="n">
        <f aca="false">C20*C7/100</f>
        <v>1.5035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1.5035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16</v>
      </c>
      <c r="B23" s="204" t="n">
        <v>0</v>
      </c>
      <c r="C23" s="205" t="n">
        <v>1.25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Melosira sp.</v>
      </c>
      <c r="E23" s="206" t="e">
        <f aca="false">IF(D23="",0,VLOOKUP(D23,D$22:D22,1,0))</f>
        <v>#N/A</v>
      </c>
      <c r="F23" s="207" t="n">
        <f aca="false">($B23*$B$7+$C23*$C$7)/100</f>
        <v>1.25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10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Melosira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8714</v>
      </c>
      <c r="Q23" s="215" t="n">
        <f aca="false">IF(ISTEXT(H23),"",(B23*$B$7/100)+(C23*$C$7/100))</f>
        <v>1.25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30</v>
      </c>
      <c r="T23" s="216" t="n">
        <f aca="false">IF(ISERROR(R23*I23*J23),0,R23*I23*J23)</f>
        <v>30</v>
      </c>
      <c r="U23" s="216" t="n">
        <f aca="false">IF(ISERROR(R23*J23),0,R23*J23)</f>
        <v>3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MELSPX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36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77</v>
      </c>
      <c r="B24" s="223" t="n">
        <v>0</v>
      </c>
      <c r="C24" s="224" t="n">
        <v>0.25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Phormidium sp.</v>
      </c>
      <c r="E24" s="225" t="e">
        <f aca="false">IF(D24="",0,VLOOKUP(D24,D$22:D23,1,0))</f>
        <v>#N/A</v>
      </c>
      <c r="F24" s="226" t="n">
        <f aca="false">($B24*$B$7+$C24*$C$7)/100</f>
        <v>0.25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13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Phormidium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6414</v>
      </c>
      <c r="Q24" s="215" t="n">
        <f aca="false">IF(ISTEXT(H24),"",(B24*$B$7/100)+(C24*$C$7/100))</f>
        <v>0.25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26</v>
      </c>
      <c r="T24" s="216" t="n">
        <f aca="false">IF(ISERROR(R24*I24*J24),0,R24*I24*J24)</f>
        <v>52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PHOSPX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57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78</v>
      </c>
      <c r="B25" s="223" t="n">
        <v>0</v>
      </c>
      <c r="C25" s="224" t="n">
        <v>0.0005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Rhizoclonium sp.</v>
      </c>
      <c r="E25" s="225" t="e">
        <f aca="false">IF(D25="",0,VLOOKUP(D25,D$22:D24,1,0))</f>
        <v>#N/A</v>
      </c>
      <c r="F25" s="226" t="n">
        <f aca="false">($B25*$B$7+$C25*$C$7)/100</f>
        <v>0.0005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Rhizoclonium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1125</v>
      </c>
      <c r="Q25" s="215" t="n">
        <f aca="false">IF(ISTEXT(H25),"",(B25*$B$7/100)+(C25*$C$7/100))</f>
        <v>0.0005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4</v>
      </c>
      <c r="T25" s="216" t="n">
        <f aca="false">IF(ISERROR(R25*I25*J25),0,R25*I25*J25)</f>
        <v>8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RHISPX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62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</v>
      </c>
      <c r="C26" s="224" t="n">
        <v>0.0005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Ulothrix sp.</v>
      </c>
      <c r="E26" s="225" t="e">
        <f aca="false">IF(D26="",0,VLOOKUP(D26,D$22:D25,1,0))</f>
        <v>#N/A</v>
      </c>
      <c r="F26" s="226" t="n">
        <f aca="false">($B26*$B$7+$C26*$C$7)/100</f>
        <v>0.0005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Ulothrix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1142</v>
      </c>
      <c r="Q26" s="215" t="n">
        <f aca="false">IF(ISTEXT(H26),"",(B26*$B$7/100)+(C26*$C$7/100))</f>
        <v>0.0005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ULOSPX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81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80</v>
      </c>
      <c r="B27" s="223" t="n">
        <v>0</v>
      </c>
      <c r="C27" s="224" t="n">
        <v>0.0005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Hygrohypnum luridum</v>
      </c>
      <c r="E27" s="225" t="e">
        <f aca="false">IF(D27="",0,VLOOKUP(D27,D$22:D26,1,0))</f>
        <v>#N/A</v>
      </c>
      <c r="F27" s="226" t="n">
        <f aca="false">($B27*$B$7+$C27*$C$7)/100</f>
        <v>0.0005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19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3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Hygrohypnum luridum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1240</v>
      </c>
      <c r="Q27" s="215" t="n">
        <f aca="false">IF(ISTEXT(H27),"",(B27*$B$7/100)+(C27*$C$7/100))</f>
        <v>0.0005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19</v>
      </c>
      <c r="T27" s="216" t="n">
        <f aca="false">IF(ISERROR(R27*I27*J27),0,R27*I27*J27)</f>
        <v>57</v>
      </c>
      <c r="U27" s="228" t="n">
        <f aca="false">IF(ISERROR(R27*J27),0,R27*J27)</f>
        <v>3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HYGLUR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219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0</v>
      </c>
      <c r="C28" s="224" t="n">
        <v>0.0005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Orthotrichum rivulare</v>
      </c>
      <c r="E28" s="225" t="e">
        <f aca="false">IF(D28="",0,VLOOKUP(D28,D$22:D27,1,0))</f>
        <v>#N/A</v>
      </c>
      <c r="F28" s="226" t="n">
        <f aca="false">($B28*$B$7+$C28*$C$7)/100</f>
        <v>0.0005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15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3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Orthotrichum rivulare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1352</v>
      </c>
      <c r="Q28" s="215" t="n">
        <f aca="false">IF(ISTEXT(H28),"",(B28*$B$7/100)+(C28*$C$7/100))</f>
        <v>0.0005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15</v>
      </c>
      <c r="T28" s="216" t="n">
        <f aca="false">IF(ISERROR(R28*I28*J28),0,R28*I28*J28)</f>
        <v>45</v>
      </c>
      <c r="U28" s="228" t="n">
        <f aca="false">IF(ISERROR(R28*J28),0,R28*J28)</f>
        <v>3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ORTRIV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229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23" t="n">
        <v>0</v>
      </c>
      <c r="C29" s="224" t="n">
        <v>0.0005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Equisetum sp.</v>
      </c>
      <c r="E29" s="225" t="e">
        <f aca="false">IF(D29="",0,VLOOKUP(D29,D$22:D28,1,0))</f>
        <v>#N/A</v>
      </c>
      <c r="F29" s="226" t="n">
        <f aca="false">($B29*$B$7+$C29*$C$7)/100</f>
        <v>0.0005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PTE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6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Equisetum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1383</v>
      </c>
      <c r="Q29" s="215" t="n">
        <f aca="false">IF(ISTEXT(H29),"",(B29*$B$7/100)+(C29*$C$7/100))</f>
        <v>0.0005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EQUSPX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283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23" t="n">
        <v>0</v>
      </c>
      <c r="C30" s="224" t="n">
        <v>0.0005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Phalaris arundinacea</v>
      </c>
      <c r="E30" s="225" t="e">
        <f aca="false">IF(D30="",0,VLOOKUP(D30,D$22:D29,1,0))</f>
        <v>#N/A</v>
      </c>
      <c r="F30" s="226" t="n">
        <f aca="false">($B30*$B$7+$C30*$C$7)/100</f>
        <v>0.0005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PHe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8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10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Phalaris arundinacea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1577</v>
      </c>
      <c r="Q30" s="215" t="n">
        <f aca="false">IF(ISTEXT(H30),"",(B30*$B$7/100)+(C30*$C$7/100))</f>
        <v>0.0005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10</v>
      </c>
      <c r="T30" s="216" t="n">
        <f aca="false">IF(ISERROR(R30*I30*J30),0,R30*I30*J30)</f>
        <v>10</v>
      </c>
      <c r="U30" s="228" t="n">
        <f aca="false">IF(ISERROR(R30*J30),0,R30*J30)</f>
        <v>1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PHAARU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634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23" t="n">
        <v>0</v>
      </c>
      <c r="C31" s="224" t="n">
        <v>0.0005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Scirpus sylvaticus</v>
      </c>
      <c r="E31" s="225" t="e">
        <f aca="false">IF(D31="",0,VLOOKUP(D31,D$22:D30,1,0))</f>
        <v>#N/A</v>
      </c>
      <c r="F31" s="226" t="n">
        <f aca="false">($B31*$B$7+$C31*$C$7)/100</f>
        <v>0.0005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PHe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8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10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Scirpus sylvaticus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1525</v>
      </c>
      <c r="Q31" s="215" t="n">
        <f aca="false">IF(ISTEXT(H31),"",(B31*$B$7/100)+(C31*$C$7/100))</f>
        <v>0.0005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10</v>
      </c>
      <c r="T31" s="216" t="n">
        <f aca="false">IF(ISERROR(R31*I31*J31),0,R31*I31*J31)</f>
        <v>20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SCISYL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665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ISERE</v>
      </c>
      <c r="B84" s="258" t="str">
        <f aca="false">C3</f>
        <v>ISERE A EYMEUX</v>
      </c>
      <c r="C84" s="259" t="n">
        <f aca="false">A4</f>
        <v>41906</v>
      </c>
      <c r="D84" s="260" t="n">
        <f aca="false">IF(ISERROR(SUM($T$23:$T$82)/SUM($U$23:$U$82)),"",SUM($T$23:$T$82)/SUM($U$23:$U$82))</f>
        <v>12.2105263157895</v>
      </c>
      <c r="E84" s="261" t="n">
        <f aca="false">N13</f>
        <v>9</v>
      </c>
      <c r="F84" s="258" t="n">
        <f aca="false">N14</f>
        <v>8</v>
      </c>
      <c r="G84" s="258" t="n">
        <f aca="false">N15</f>
        <v>3</v>
      </c>
      <c r="H84" s="258" t="n">
        <f aca="false">N16</f>
        <v>3</v>
      </c>
      <c r="I84" s="258" t="n">
        <f aca="false">N17</f>
        <v>2</v>
      </c>
      <c r="J84" s="262" t="n">
        <f aca="false">N8</f>
        <v>11.375</v>
      </c>
      <c r="K84" s="260" t="n">
        <f aca="false">N9</f>
        <v>4.12121038045863</v>
      </c>
      <c r="L84" s="261" t="n">
        <f aca="false">N10</f>
        <v>4</v>
      </c>
      <c r="M84" s="261" t="n">
        <f aca="false">N11</f>
        <v>19</v>
      </c>
      <c r="N84" s="260" t="n">
        <f aca="false">O8</f>
        <v>1.875</v>
      </c>
      <c r="O84" s="260" t="n">
        <f aca="false">O9</f>
        <v>0.7806247497998</v>
      </c>
      <c r="P84" s="261" t="n">
        <f aca="false">O10</f>
        <v>1</v>
      </c>
      <c r="Q84" s="261" t="n">
        <f aca="false">O11</f>
        <v>3</v>
      </c>
      <c r="R84" s="261" t="n">
        <f aca="false">F21</f>
        <v>1.5035</v>
      </c>
      <c r="S84" s="261" t="n">
        <f aca="false">K11</f>
        <v>0</v>
      </c>
      <c r="T84" s="261" t="n">
        <f aca="false">K12</f>
        <v>4</v>
      </c>
      <c r="U84" s="261" t="n">
        <f aca="false">K13</f>
        <v>2</v>
      </c>
      <c r="V84" s="263" t="n">
        <f aca="false">K14</f>
        <v>1</v>
      </c>
      <c r="W84" s="264" t="n">
        <f aca="false">K15</f>
        <v>2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86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7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7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89</v>
      </c>
      <c r="R89" s="10"/>
      <c r="S89" s="217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7" t="n">
        <f aca="false">IF(ISERROR(SUM($T$23:$T$82)/SUM($U$23:$U$82)),"",(SUM($T$23:$T$82)-S88)/(SUM($U$23:$U$82)-S89))</f>
        <v>12.625</v>
      </c>
      <c r="T90" s="10"/>
    </row>
    <row r="91" customFormat="false" ht="12.75" hidden="false" customHeight="false" outlineLevel="0" collapsed="false">
      <c r="Q91" s="216" t="s">
        <v>91</v>
      </c>
      <c r="R91" s="216"/>
      <c r="S91" s="216" t="str">
        <f aca="false">INDEX('[2]liste reference'!$A$8:$A$904,$T$91)</f>
        <v>MELSPX</v>
      </c>
      <c r="T91" s="10" t="n">
        <f aca="false">IF(ISERROR(MATCH($S$93,'[2]liste reference'!$A$8:$A$904,0)),MATCH($S$93,'[2]liste reference'!$B$8:$B$904,0),(MATCH($S$93,'[2]liste reference'!$A$8:$A$904,0)))</f>
        <v>36</v>
      </c>
      <c r="U91" s="256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93</v>
      </c>
      <c r="R93" s="10"/>
      <c r="S93" s="216" t="str">
        <f aca="false">INDEX($A$23:$A$82,$S$92)</f>
        <v>MELSPX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2015-06-01T18:16:22Z</dcterms:created>
  <dc:creator>Laurent Bourgoin</dc:creator>
  <dc:description/>
  <dc:language>fr-FR</dc:language>
  <cp:lastModifiedBy>IMBERT Loïc</cp:lastModifiedBy>
  <dcterms:modified xsi:type="dcterms:W3CDTF">2015-06-02T16:57:10Z</dcterms:modified>
  <cp:revision>0</cp:revision>
  <dc:subject/>
  <dc:title/>
</cp:coreProperties>
</file>