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<sst xmlns="http://schemas.openxmlformats.org/spreadsheetml/2006/main" count="155" uniqueCount="90">
  <si>
    <t xml:space="preserve">Relevés floristiques aquatiques - IBMR</t>
  </si>
  <si>
    <t xml:space="preserve">modèle Irstea-GIS</t>
  </si>
  <si>
    <t xml:space="preserve">SAGE ENVIRONNEMENT</t>
  </si>
  <si>
    <t xml:space="preserve">MSCHNEIDER LBOURGOIN</t>
  </si>
  <si>
    <t xml:space="preserve">SAVASSE</t>
  </si>
  <si>
    <t xml:space="preserve">SAVASSE A SAINT MICHEL SUR SAVASSE</t>
  </si>
  <si>
    <t xml:space="preserve">06148800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</si>
  <si>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</si>
  <si>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</si>
  <si>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</si>
  <si>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</si>
  <si>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</si>
  <si>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</si>
  <si>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</si>
  <si>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</si>
  <si>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</si>
  <si>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CLASPX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</si>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</sst>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AMIC_06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42191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</v>
      </c>
      <c r="N5" s="51"/>
      <c r="O5" s="52" t="s">
        <v>16</v>
      </c>
      <c r="P5" s="53" t="n">
        <v>12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50</v>
      </c>
      <c r="C7" s="69" t="n">
        <v>50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9</v>
      </c>
      <c r="P8" s="83" t="n">
        <f aca="false">IF(ISERROR(AVERAGE(K23:K82)),"  ",AVERAGE(K23:K82))</f>
        <v>1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0.02</v>
      </c>
      <c r="C9" s="86" t="n">
        <v>0.01</v>
      </c>
      <c r="D9" s="87"/>
      <c r="E9" s="87"/>
      <c r="F9" s="88" t="n">
        <f aca="false">($B9*$B$7+$C9*$C$7)/100</f>
        <v>0.015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</v>
      </c>
      <c r="P9" s="83" t="n">
        <f aca="false">IF(ISERROR(STDEVP(K23:K82)),"  ",STDEVP(K23:K82))</f>
        <v>0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12</v>
      </c>
      <c r="P11" s="99" t="n">
        <f aca="false">MAX(K23:K82)</f>
        <v>1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0.01</v>
      </c>
      <c r="C12" s="111" t="n">
        <v>0.01</v>
      </c>
      <c r="D12" s="87"/>
      <c r="E12" s="87"/>
      <c r="F12" s="104" t="n">
        <f aca="false">($B12*$B$7+$C12*$C$7)/100</f>
        <v>0.01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1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0.01</v>
      </c>
      <c r="C13" s="111"/>
      <c r="D13" s="87"/>
      <c r="E13" s="87"/>
      <c r="F13" s="104" t="n">
        <f aca="false">($B13*$B$7+$C13*$C$7)/100</f>
        <v>0.005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1</v>
      </c>
      <c r="M13" s="108"/>
      <c r="N13" s="116" t="s">
        <v>42</v>
      </c>
      <c r="O13" s="117" t="n">
        <f aca="false">COUNTIF(F23:F82,"&gt;0")</f>
        <v>2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2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0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0.02</v>
      </c>
      <c r="C17" s="111" t="n">
        <v>0.01</v>
      </c>
      <c r="D17" s="87"/>
      <c r="E17" s="87"/>
      <c r="F17" s="129"/>
      <c r="G17" s="130" t="n">
        <f aca="false">($B17*$B$7+$C17*$C$7)/100</f>
        <v>0.015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0.015</v>
      </c>
      <c r="G19" s="150" t="n">
        <f aca="false">SUM(G16:G18)</f>
        <v>0.015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0.02</v>
      </c>
      <c r="C20" s="160" t="n">
        <f aca="false">SUM(C23:C62)</f>
        <v>0.01</v>
      </c>
      <c r="D20" s="161"/>
      <c r="E20" s="162" t="s">
        <v>55</v>
      </c>
      <c r="F20" s="163" t="n">
        <f aca="false">($B20*$B$7+$C20*$C$7)/100</f>
        <v>0.015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0.01</v>
      </c>
      <c r="C21" s="171" t="n">
        <f aca="false">C20*C7/100</f>
        <v>0.005</v>
      </c>
      <c r="D21" s="172" t="s">
        <v>58</v>
      </c>
      <c r="E21" s="173"/>
      <c r="F21" s="174" t="n">
        <f aca="false">B21+C21</f>
        <v>0.015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Rhynchostegium riparioides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BRm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5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Rhynchostegium riparioides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31691</v>
      </c>
      <c r="R24" s="211" t="n">
        <f aca="false">IF(ISTEXT(H24),"",(B24*$B$7/100)+(C24*$C$7/100))</f>
        <v>0.005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12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RHYRIP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345</v>
      </c>
    </row>
    <row r="25" customFormat="false" ht="12.75" hidden="false" customHeight="false" outlineLevel="0" collapsed="false">
      <c r="A25" s="216"/>
      <c r="B25" s="217"/>
      <c r="C25" s="218"/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/>
      </c>
      <c r="E25" s="220" t="n">
        <f aca="false">IF(D25="",0,VLOOKUP(D25,D$22:D24,1,0))</f>
        <v>0</v>
      </c>
      <c r="F25" s="221" t="str">
        <f aca="false">IF(AND(OR(A25="",A25="!!!!!!"),B25="",C25=""),"",IF(OR(AND(B25="",C25=""),ISERROR(C25+B25)),"!!!",($B25*$B$7+$C25*$C$7)/100))</f>
        <v/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/>
      </c>
      <c r="H25" s="223" t="str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x</v>
      </c>
      <c r="I25" s="8" t="str">
        <f aca="false">IF(A25="","",1)</f>
        <v/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nu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nu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/>
      </c>
      <c r="M25" s="225"/>
      <c r="N25" s="225"/>
      <c r="O25" s="225"/>
      <c r="P25" s="226" t="s">
        <v>80</v>
      </c>
      <c r="Q25" s="227" t="str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/>
      </c>
      <c r="R25" s="211" t="str">
        <f aca="false">IF(ISTEXT(H25),"",(B25*$B$7/100)+(C25*$C$7/100))</f>
        <v/>
      </c>
      <c r="S25" s="212" t="str">
        <f aca="false">IF(OR(ISTEXT(H25),R25=0),"",IF(R25&lt;0.1,1,IF(R25&lt;1,2,IF(R25&lt;10,3,IF(R25&lt;50,4,IF(R25&gt;=50,5,""))))))</f>
        <v/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/>
      </c>
      <c r="Z25" s="197" t="str">
        <f aca="false">IF(ISERROR(MATCH(A25,'[1]liste reference'!$A$6:$A$1174,0)),IF(ISERROR(MATCH(A25,'[1]liste reference'!$B$6:$B$1174,0)),"",(MATCH(A25,'[1]liste reference'!$B$6:$B$1174,0))),(MATCH(A25,'[1]liste reference'!$A$6:$A$1174,0)))</f>
        <v/>
      </c>
    </row>
    <row r="26" customFormat="false" ht="12.75" hidden="false" customHeight="false" outlineLevel="0" collapsed="false">
      <c r="A26" s="216"/>
      <c r="B26" s="217"/>
      <c r="C26" s="218"/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/>
      </c>
      <c r="E26" s="220" t="n">
        <f aca="false">IF(D26="",0,VLOOKUP(D26,D$22:D25,1,0))</f>
        <v>0</v>
      </c>
      <c r="F26" s="221" t="str">
        <f aca="false">IF(AND(OR(A26="",A26="!!!!!!"),B26="",C26=""),"",IF(OR(AND(B26="",C26=""),ISERROR(C26+B26)),"!!!",($B26*$B$7+$C26*$C$7)/100))</f>
        <v/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/>
      </c>
      <c r="H26" s="223" t="str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x</v>
      </c>
      <c r="I26" s="8" t="str">
        <f aca="false">IF(A26="","",1)</f>
        <v/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nu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nu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/>
      </c>
      <c r="M26" s="225"/>
      <c r="N26" s="225"/>
      <c r="O26" s="225"/>
      <c r="P26" s="226" t="s">
        <v>80</v>
      </c>
      <c r="Q26" s="227" t="str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/>
      </c>
      <c r="R26" s="211" t="str">
        <f aca="false">IF(ISTEXT(H26),"",(B26*$B$7/100)+(C26*$C$7/100))</f>
        <v/>
      </c>
      <c r="S26" s="212" t="str">
        <f aca="false">IF(OR(ISTEXT(H26),R26=0),"",IF(R26&lt;0.1,1,IF(R26&lt;1,2,IF(R26&lt;10,3,IF(R26&lt;50,4,IF(R26&gt;=50,5,""))))))</f>
        <v/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/>
      </c>
      <c r="Z26" s="197" t="str">
        <f aca="false">IF(ISERROR(MATCH(A26,'[1]liste reference'!$A$6:$A$1174,0)),IF(ISERROR(MATCH(A26,'[1]liste reference'!$B$6:$B$1174,0)),"",(MATCH(A26,'[1]liste reference'!$B$6:$B$1174,0))),(MATCH(A26,'[1]liste reference'!$A$6:$A$1174,0)))</f>
        <v/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80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80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80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80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0.015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SAVASSE</v>
      </c>
      <c r="B84" s="180" t="str">
        <f aca="false">C3</f>
        <v>SAVASSE A SAINT MICHEL SUR SAVASSE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</v>
      </c>
      <c r="E84" s="254" t="n">
        <f aca="false">O13</f>
        <v>2</v>
      </c>
      <c r="F84" s="180" t="n">
        <f aca="false">O14</f>
        <v>2</v>
      </c>
      <c r="G84" s="180" t="n">
        <f aca="false">O15</f>
        <v>2</v>
      </c>
      <c r="H84" s="180" t="n">
        <f aca="false">O16</f>
        <v>0</v>
      </c>
      <c r="I84" s="180" t="n">
        <f aca="false">O17</f>
        <v>0</v>
      </c>
      <c r="J84" s="255" t="n">
        <f aca="false">O8</f>
        <v>9</v>
      </c>
      <c r="K84" s="256" t="n">
        <f aca="false">O9</f>
        <v>3</v>
      </c>
      <c r="L84" s="257" t="n">
        <f aca="false">O10</f>
        <v>6</v>
      </c>
      <c r="M84" s="257" t="n">
        <f aca="false">O11</f>
        <v>12</v>
      </c>
      <c r="N84" s="256" t="n">
        <f aca="false">P8</f>
        <v>1</v>
      </c>
      <c r="O84" s="256" t="n">
        <f aca="false">P9</f>
        <v>0</v>
      </c>
      <c r="P84" s="257" t="n">
        <f aca="false">P10</f>
        <v>1</v>
      </c>
      <c r="Q84" s="257" t="n">
        <f aca="false">P11</f>
        <v>1</v>
      </c>
      <c r="R84" s="257" t="n">
        <f aca="false">F21</f>
        <v>0.015</v>
      </c>
      <c r="S84" s="257" t="n">
        <f aca="false">L11</f>
        <v>0</v>
      </c>
      <c r="T84" s="257" t="n">
        <f aca="false">L12</f>
        <v>1</v>
      </c>
      <c r="U84" s="257" t="n">
        <f aca="false">L13</f>
        <v>1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82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83</v>
      </c>
      <c r="S87" s="8"/>
      <c r="T87" s="263" t="n">
        <f aca="false">VLOOKUP($T$91,($A$23:$U$82),20,FALSE())</f>
        <v>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84</v>
      </c>
      <c r="S88" s="8"/>
      <c r="T88" s="263" t="n">
        <f aca="false">VLOOKUP($T$91,($A$23:$U$82),21,FALSE())</f>
        <v>6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85</v>
      </c>
      <c r="S89" s="8"/>
      <c r="T89" s="263" t="n">
        <f aca="false">MAX($V$23:$V$82)</f>
        <v>1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86</v>
      </c>
      <c r="S90" s="8" t="s">
        <v>10</v>
      </c>
      <c r="T90" s="264" t="n">
        <f aca="false">IF(OR(ISERROR(SUM($U$23:$U$82)/SUM($V$23:$V$82)),F7&lt;&gt;100),-1,(SUM($U$23:$U$82)-T88)/(SUM($V$23:$V$82)-T89))</f>
        <v>12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87</v>
      </c>
      <c r="S91" s="212"/>
      <c r="T91" s="212" t="str">
        <f aca="false">INDEX('[1]liste reference'!$A$6:$A$1174,$U$91)</f>
        <v>CLASPX</v>
      </c>
      <c r="U91" s="8" t="n">
        <f aca="false">IF(ISERROR(MATCH($T$93,'[1]liste reference'!$A$6:$A$1174,0)),MATCH($T$93,'[1]liste reference'!$B$6:$B$1174,0),(MATCH($T$93,'[1]liste reference'!$A$6:$A$1174,0)))</f>
        <v>35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88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89</v>
      </c>
      <c r="S93" s="8"/>
      <c r="T93" s="212" t="str">
        <f aca="false">INDEX($A$23:$A$82,$T$92)</f>
        <v>CLASPX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2016-03-23T13:33:32Z</dcterms:created>
  <dc:creator>laurianne isebe</dc:creator>
  <dc:description/>
  <dc:language>fr-FR</dc:language>
  <cp:lastModifiedBy>laurianne isebe</cp:lastModifiedBy>
  <dcterms:modified xsi:type="dcterms:W3CDTF">2016-03-23T13:33:34Z</dcterms:modified>
  <cp:revision>0</cp:revision>
  <dc:subject/>
  <dc:title/>
</cp:coreProperties>
</file>