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<sst xmlns="http://schemas.openxmlformats.org/spreadsheetml/2006/main" count="160" uniqueCount="95">
  <si>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</si>
  <si>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</si>
  <si>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</si>
  <si>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LBOURGOIN M SCHNIEIDER</t>
  </si>
  <si>
    <t xml:space="preserve">SAVASSE</t>
  </si>
  <si>
    <t xml:space="preserve">SAVASSE A ROMANS SUR ISERE</t>
  </si>
  <si>
    <t xml:space="preserve">06148850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</si>
  <si>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</si>
  <si>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</si>
  <si>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</si>
  <si>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</si>
  <si>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</si>
  <si>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</si>
  <si>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</si>
  <si>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</si>
  <si>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</si>
  <si>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</si>
  <si>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</si>
  <si>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</si>
  <si>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</si>
  <si>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</si>
  <si>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</si>
  <si>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</si>
  <si>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</si>
  <si>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</si>
  <si>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</si>
  <si>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</si>
  <si>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</si>
  <si>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</si>
  <si>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</si>
  <si>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</si>
  <si>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</si>
  <si>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</si>
  <si>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</si>
  <si>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</si>
  <si>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</si>
  <si>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</si>
  <si>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</si>
  <si>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</si>
  <si>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</si>
  <si>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</si>
  <si>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</si>
  <si>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</si>
  <si>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</si>
  <si>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</si>
  <si>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</si>
  <si>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</si>
  <si>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</si>
  <si>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</si>
  <si>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</si>
  <si>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</si>
  <si>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</si>
  <si>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</si>
  <si>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</si>
  <si>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</si>
  <si>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</si>
  <si>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</si>
  <si>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</si>
  <si>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</si>
  <si>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</si>
  <si>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</si>
  <si>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</si>
  <si>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</si>
  <si>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</si>
  <si>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</si>
  <si>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</si>
  <si>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</si>
  <si>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</si>
  <si>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</si>
  <si>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</si>
  <si>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</si>
  <si>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</si>
  <si>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</si>
  <si>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</si>
  <si>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</si>
  <si>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</si>
  <si>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</si>
  <si>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</si>
  <si>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</si>
  <si>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</si>
  <si>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</si>
  <si>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</si>
  <si>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PHOSPX</t>
  </si>
  <si>
    <t xml:space="preserve">VAUSPX</t>
  </si>
  <si>
    <t xml:space="preserve">LEORIP</t>
  </si>
  <si>
    <t xml:space="preserve">RHYRIP</t>
  </si>
  <si>
    <t xml:space="preserve">GRODEN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</si>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</sst>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SAVRO_06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42191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8.66666666666667</v>
      </c>
      <c r="N5" s="51"/>
      <c r="O5" s="52" t="s">
        <v>16</v>
      </c>
      <c r="P5" s="53" t="n">
        <v>7.33333333333333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70</v>
      </c>
      <c r="C7" s="69" t="n">
        <v>30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9</v>
      </c>
      <c r="P8" s="83" t="n">
        <f aca="false">IF(ISERROR(AVERAGE(K23:K82)),"  ",AVERAGE(K23:K82))</f>
        <v>1.57142857142857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52.87</v>
      </c>
      <c r="C9" s="86" t="n">
        <v>65.35</v>
      </c>
      <c r="D9" s="87"/>
      <c r="E9" s="87"/>
      <c r="F9" s="88" t="n">
        <f aca="false">($B9*$B$7+$C9*$C$7)/100</f>
        <v>56.614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3.54562104171167</v>
      </c>
      <c r="P9" s="83" t="n">
        <f aca="false">IF(ISERROR(STDEVP(K23:K82)),"  ",STDEVP(K23:K82))</f>
        <v>0.494871659305394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51.3</v>
      </c>
      <c r="C12" s="111" t="n">
        <v>65.25</v>
      </c>
      <c r="D12" s="87"/>
      <c r="E12" s="87"/>
      <c r="F12" s="104" t="n">
        <f aca="false">($B12*$B$7+$C12*$C$7)/100</f>
        <v>55.485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0.56</v>
      </c>
      <c r="C13" s="111" t="n">
        <v>0.1</v>
      </c>
      <c r="D13" s="87"/>
      <c r="E13" s="87"/>
      <c r="F13" s="104" t="n">
        <f aca="false">($B13*$B$7+$C13*$C$7)/100</f>
        <v>0.422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3</v>
      </c>
      <c r="M13" s="108"/>
      <c r="N13" s="116" t="s">
        <v>42</v>
      </c>
      <c r="O13" s="117" t="n">
        <f aca="false">COUNTIF(F23:F82,"&gt;0")</f>
        <v>7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7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 t="n">
        <v>0.01</v>
      </c>
      <c r="C15" s="124"/>
      <c r="D15" s="87"/>
      <c r="E15" s="87"/>
      <c r="F15" s="104" t="n">
        <f aca="false">($B15*$B$7+$C15*$C$7)/100</f>
        <v>0.007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52.86</v>
      </c>
      <c r="C17" s="111" t="n">
        <v>65.35</v>
      </c>
      <c r="D17" s="87"/>
      <c r="E17" s="87"/>
      <c r="F17" s="129"/>
      <c r="G17" s="130" t="n">
        <f aca="false">($B17*$B$7+$C17*$C$7)/100</f>
        <v>56.607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 t="n">
        <v>0.01</v>
      </c>
      <c r="C18" s="138"/>
      <c r="D18" s="87"/>
      <c r="E18" s="139" t="s">
        <v>55</v>
      </c>
      <c r="F18" s="129"/>
      <c r="G18" s="130" t="n">
        <f aca="false">($B18*$B$7+$C18*$C$7)/100</f>
        <v>0.007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55.914</v>
      </c>
      <c r="G19" s="150" t="n">
        <f aca="false">SUM(G16:G18)</f>
        <v>56.614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52.87</v>
      </c>
      <c r="C20" s="160" t="n">
        <f aca="false">SUM(C23:C62)</f>
        <v>65.35</v>
      </c>
      <c r="D20" s="161"/>
      <c r="E20" s="162" t="s">
        <v>55</v>
      </c>
      <c r="F20" s="163" t="n">
        <f aca="false">($B20*$B$7+$C20*$C$7)/100</f>
        <v>56.614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37.009</v>
      </c>
      <c r="C21" s="171" t="n">
        <f aca="false">C20*C7/100</f>
        <v>19.605</v>
      </c>
      <c r="D21" s="172" t="s">
        <v>58</v>
      </c>
      <c r="E21" s="173"/>
      <c r="F21" s="174" t="n">
        <f aca="false">B21+C21</f>
        <v>56.614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</v>
      </c>
      <c r="C23" s="200" t="n">
        <v>65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19.5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19.5</v>
      </c>
      <c r="S23" s="212" t="n">
        <f aca="false">IF(OR(ISTEXT(H23),R23=0),"",IF(R23&lt;0.1,1,IF(R23&lt;1,2,IF(R23&lt;10,3,IF(R23&lt;50,4,IF(R23&gt;=50,5,""))))))</f>
        <v>4</v>
      </c>
      <c r="T23" s="212" t="n">
        <f aca="false">IF(ISERROR(S23*J23),0,S23*J23)</f>
        <v>24</v>
      </c>
      <c r="U23" s="212" t="n">
        <f aca="false">IF(ISERROR(S23*J23*K23),0,S23*J23*K23)</f>
        <v>24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0.05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Phormidium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0.035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Phormidium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6414</v>
      </c>
      <c r="R24" s="211" t="n">
        <f aca="false">IF(ISTEXT(H24),"",(B24*$B$7/100)+(C24*$C$7/100))</f>
        <v>0.035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PHOSPX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88</v>
      </c>
    </row>
    <row r="25" customFormat="false" ht="12.75" hidden="false" customHeight="false" outlineLevel="0" collapsed="false">
      <c r="A25" s="216" t="s">
        <v>83</v>
      </c>
      <c r="B25" s="217" t="n">
        <v>51.25</v>
      </c>
      <c r="C25" s="218" t="n">
        <v>0.25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Vaucheria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35.95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4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Vaucheria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1169</v>
      </c>
      <c r="R25" s="211" t="n">
        <f aca="false">IF(ISTEXT(H25),"",(B25*$B$7/100)+(C25*$C$7/100))</f>
        <v>35.95</v>
      </c>
      <c r="S25" s="212" t="n">
        <f aca="false">IF(OR(ISTEXT(H25),R25=0),"",IF(R25&lt;0.1,1,IF(R25&lt;1,2,IF(R25&lt;10,3,IF(R25&lt;50,4,IF(R25&gt;=50,5,""))))))</f>
        <v>4</v>
      </c>
      <c r="T25" s="212" t="n">
        <f aca="false">IF(ISERROR(S25*J25),0,S25*J25)</f>
        <v>16</v>
      </c>
      <c r="U25" s="212" t="n">
        <f aca="false">IF(ISERROR(S25*J25*K25),0,S25*J25*K25)</f>
        <v>16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VAUSPX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118</v>
      </c>
    </row>
    <row r="26" customFormat="false" ht="12.75" hidden="false" customHeight="false" outlineLevel="0" collapsed="false">
      <c r="A26" s="216" t="s">
        <v>16</v>
      </c>
      <c r="B26" s="217" t="n">
        <v>1.5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Fissidens crassipes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1.08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Fissidens crassipes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1294</v>
      </c>
      <c r="R26" s="211" t="n">
        <f aca="false">IF(ISTEXT(H26),"",(B26*$B$7/100)+(C26*$C$7/100))</f>
        <v>1.08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36</v>
      </c>
      <c r="U26" s="212" t="n">
        <f aca="false">IF(ISERROR(S26*J26*K26),0,S26*J26*K26)</f>
        <v>72</v>
      </c>
      <c r="V26" s="228" t="n">
        <f aca="false">IF(ISERROR(S26*K26),0,S26*K26)</f>
        <v>6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FISCRA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255</v>
      </c>
    </row>
    <row r="27" customFormat="false" ht="12.75" hidden="false" customHeight="false" outlineLevel="0" collapsed="false">
      <c r="A27" s="216" t="s">
        <v>84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Leptodictyum riparium 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0.007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Leptodictyum riparium 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1244</v>
      </c>
      <c r="R27" s="211" t="n">
        <f aca="false">IF(ISTEXT(H27),"",(B27*$B$7/100)+(C27*$C$7/100))</f>
        <v>0.007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5</v>
      </c>
      <c r="U27" s="212" t="n">
        <f aca="false">IF(ISERROR(S27*J27*K27),0,S27*J27*K27)</f>
        <v>10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LEORIP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298</v>
      </c>
    </row>
    <row r="28" customFormat="false" ht="12.75" hidden="false" customHeight="false" outlineLevel="0" collapsed="false">
      <c r="A28" s="216" t="s">
        <v>85</v>
      </c>
      <c r="B28" s="217" t="n">
        <v>0.05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0.035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0.035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 t="s">
        <v>86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Groenlandia densa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0.007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PHy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7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11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Groenlandia densa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1638</v>
      </c>
      <c r="R29" s="211" t="n">
        <f aca="false">IF(ISTEXT(H29),"",(B29*$B$7/100)+(C29*$C$7/100))</f>
        <v>0.007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11</v>
      </c>
      <c r="U29" s="212" t="n">
        <f aca="false">IF(ISERROR(S29*J29*K29),0,S29*J29*K29)</f>
        <v>22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GRODEN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458</v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56.614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21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SAVASSE</v>
      </c>
      <c r="B84" s="180" t="str">
        <f aca="false">C3</f>
        <v>SAVASSE A ROMANS SUR ISERE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8.66666666666667</v>
      </c>
      <c r="E84" s="254" t="n">
        <f aca="false">O13</f>
        <v>7</v>
      </c>
      <c r="F84" s="180" t="n">
        <f aca="false">O14</f>
        <v>7</v>
      </c>
      <c r="G84" s="180" t="n">
        <f aca="false">O15</f>
        <v>3</v>
      </c>
      <c r="H84" s="180" t="n">
        <f aca="false">O16</f>
        <v>4</v>
      </c>
      <c r="I84" s="180" t="n">
        <f aca="false">O17</f>
        <v>0</v>
      </c>
      <c r="J84" s="255" t="n">
        <f aca="false">O8</f>
        <v>9</v>
      </c>
      <c r="K84" s="256" t="n">
        <f aca="false">O9</f>
        <v>3.54562104171167</v>
      </c>
      <c r="L84" s="257" t="n">
        <f aca="false">O10</f>
        <v>4</v>
      </c>
      <c r="M84" s="257" t="n">
        <f aca="false">O11</f>
        <v>13</v>
      </c>
      <c r="N84" s="256" t="n">
        <f aca="false">P8</f>
        <v>1.57142857142857</v>
      </c>
      <c r="O84" s="256" t="n">
        <f aca="false">P9</f>
        <v>0.494871659305394</v>
      </c>
      <c r="P84" s="257" t="n">
        <f aca="false">P10</f>
        <v>1</v>
      </c>
      <c r="Q84" s="257" t="n">
        <f aca="false">P11</f>
        <v>2</v>
      </c>
      <c r="R84" s="257" t="n">
        <f aca="false">F21</f>
        <v>56.614</v>
      </c>
      <c r="S84" s="257" t="n">
        <f aca="false">L11</f>
        <v>0</v>
      </c>
      <c r="T84" s="257" t="n">
        <f aca="false">L12</f>
        <v>3</v>
      </c>
      <c r="U84" s="257" t="n">
        <f aca="false">L13</f>
        <v>3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36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72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7.33333333333333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FISCRA</v>
      </c>
      <c r="U91" s="8" t="n">
        <f aca="false">IF(ISERROR(MATCH($T$93,'[1]liste reference'!$A$6:$A$1174,0)),MATCH($T$93,'[1]liste reference'!$B$6:$B$1174,0),(MATCH($T$93,'[1]liste reference'!$A$6:$A$1174,0)))</f>
        <v>255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FISCRA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2016-03-23T13:44:47Z</dcterms:created>
  <dc:creator>laurianne isebe</dc:creator>
  <dc:description/>
  <dc:language>fr-FR</dc:language>
  <cp:lastModifiedBy>laurianne isebe</cp:lastModifiedBy>
  <dcterms:modified xsi:type="dcterms:W3CDTF">2016-03-23T13:44:50Z</dcterms:modified>
  <cp:revision>0</cp:revision>
  <dc:subject/>
  <dc:title/>
</cp:coreProperties>
</file>