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<sst xmlns="http://schemas.openxmlformats.org/spreadsheetml/2006/main" count="104" uniqueCount="100">
  <si>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</si>
  <si>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</si>
  <si>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</si>
  <si>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</si>
  <si>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</si>
  <si>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Isère</t>
  </si>
  <si>
    <t xml:space="preserve">Isère à Chateauneuf sur Isère</t>
  </si>
  <si>
    <t xml:space="preserve">06149500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</si>
  <si>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</si>
  <si>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</si>
  <si>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</si>
  <si>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</si>
  <si>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</si>
  <si>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</si>
  <si>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</si>
  <si>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</si>
  <si>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MELSPX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</si>
  <si>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</si>
  <si>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</si>
  <si>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</si>
  <si>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</si>
  <si>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</si>
  <si>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</si>
  <si>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</si>
  <si>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</si>
  <si>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</si>
  <si>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</si>
  <si>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</si>
  <si>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</si>
  <si>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</si>
  <si>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</si>
  <si>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</si>
  <si>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</si>
  <si>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</si>
  <si>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</si>
  <si>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</si>
  <si>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</si>
  <si>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</si>
  <si>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</si>
  <si>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</si>
  <si>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</si>
  <si>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</si>
  <si>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</si>
  <si>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</si>
  <si>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</si>
  <si>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</si>
  <si>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</si>
  <si>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</si>
  <si>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</si>
  <si>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</si>
  <si>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</si>
  <si>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</si>
  <si>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</si>
  <si>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</si>
  <si>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</si>
  <si>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</si>
  <si>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</si>
  <si>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</si>
  <si>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</si>
  <si>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</si>
  <si>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</si>
  <si>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</si>
  <si>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</si>
  <si>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</si>
  <si>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</si>
  <si>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</si>
  <si>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</si>
  <si>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</si>
  <si>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</si>
  <si>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</si>
  <si>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</si>
  <si>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</si>
  <si>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</si>
  <si>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</si>
  <si>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</si>
  <si>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</si>
  <si>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</si>
  <si>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</si>
  <si>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</si>
  <si>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</si>
  <si>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</si>
  <si>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MOUSPX</t>
  </si>
  <si>
    <t xml:space="preserve">OEDSPX</t>
  </si>
  <si>
    <t xml:space="preserve">PHOSPX</t>
  </si>
  <si>
    <t xml:space="preserve">SPISPX</t>
  </si>
  <si>
    <t xml:space="preserve">ULOSPX</t>
  </si>
  <si>
    <t xml:space="preserve">VAUSPX</t>
  </si>
  <si>
    <t xml:space="preserve">AMBRIP</t>
  </si>
  <si>
    <t xml:space="preserve">AGRSTO</t>
  </si>
  <si>
    <t xml:space="preserve">PHAARU</t>
  </si>
  <si>
    <t xml:space="preserve">PHRAUS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</si>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</sst>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i val="true"/>
      <sz val="11"/>
      <color rgb="FF000000"/>
      <name val="Calibri"/>
      <family val="2"/>
    </font>
    <font>
      <sz val="7"/>
      <name val="Arial"/>
      <family val="2"/>
    </font>
    <font>
      <i val="true"/>
      <sz val="11"/>
      <name val="Calibri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8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1" fillId="7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11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1" fillId="10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ISCHA_25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41542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9.11111111111111</v>
      </c>
      <c r="M5" s="53"/>
      <c r="N5" s="54" t="s">
        <v>16</v>
      </c>
      <c r="O5" s="55" t="n">
        <v>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52</v>
      </c>
      <c r="C7" s="67" t="n">
        <v>48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9.07692307692308</v>
      </c>
      <c r="O8" s="84" t="n">
        <f aca="false">IF(ISERROR(AVERAGE(J23:J82)),"      -",AVERAGE(J23:J82))</f>
        <v>1.46153846153846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0.01</v>
      </c>
      <c r="C9" s="87" t="n">
        <v>13.33</v>
      </c>
      <c r="D9" s="88"/>
      <c r="E9" s="88"/>
      <c r="F9" s="89" t="n">
        <f aca="false">($B9*$B$7+$C9*$C$7)/100</f>
        <v>6.4036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2.84095158655683</v>
      </c>
      <c r="O9" s="84" t="n">
        <f aca="false">IF(ISERROR(STDEVP(J23:J82)),"      -",STDEVP(J23:J82))</f>
        <v>0.498518515262143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33</v>
      </c>
      <c r="D10" s="100"/>
      <c r="E10" s="100"/>
      <c r="F10" s="89"/>
      <c r="G10" s="90"/>
      <c r="H10" s="101"/>
      <c r="I10" s="102"/>
      <c r="J10" s="103" t="s">
        <v>34</v>
      </c>
      <c r="K10" s="103"/>
      <c r="L10" s="104"/>
      <c r="M10" s="105" t="s">
        <v>35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36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37</v>
      </c>
      <c r="J11" s="114"/>
      <c r="K11" s="115" t="n">
        <f aca="false">COUNTIF($G$23:$G$82,"=HET")</f>
        <v>0</v>
      </c>
      <c r="L11" s="116"/>
      <c r="M11" s="105" t="s">
        <v>38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39</v>
      </c>
      <c r="B12" s="118" t="n">
        <v>0.01</v>
      </c>
      <c r="C12" s="119" t="n">
        <v>13.29</v>
      </c>
      <c r="D12" s="111"/>
      <c r="E12" s="111"/>
      <c r="F12" s="112" t="n">
        <f aca="false">($B12*$B$7+$C12*$C$7)/100</f>
        <v>6.3844</v>
      </c>
      <c r="G12" s="120"/>
      <c r="H12" s="68"/>
      <c r="I12" s="121" t="s">
        <v>40</v>
      </c>
      <c r="J12" s="121"/>
      <c r="K12" s="115" t="n">
        <f aca="false">COUNTIF($G$23:$G$82,"=ALG")</f>
        <v>9</v>
      </c>
      <c r="L12" s="122"/>
      <c r="M12" s="123"/>
      <c r="N12" s="124" t="s">
        <v>34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41</v>
      </c>
      <c r="B13" s="118"/>
      <c r="C13" s="119" t="n">
        <v>0.01</v>
      </c>
      <c r="D13" s="111"/>
      <c r="E13" s="111"/>
      <c r="F13" s="112" t="n">
        <f aca="false">($B13*$B$7+$C13*$C$7)/100</f>
        <v>0.0048</v>
      </c>
      <c r="G13" s="120"/>
      <c r="H13" s="68"/>
      <c r="I13" s="121" t="s">
        <v>42</v>
      </c>
      <c r="J13" s="121"/>
      <c r="K13" s="115" t="n">
        <f aca="false">COUNTIF($G$23:$G$82,"=BRm")+COUNTIF($G$23:$G$82,"=BRh")</f>
        <v>1</v>
      </c>
      <c r="L13" s="116"/>
      <c r="M13" s="127" t="s">
        <v>43</v>
      </c>
      <c r="N13" s="128" t="n">
        <f aca="false">COUNTIF(F23:F82,"&gt;0")</f>
        <v>13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44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45</v>
      </c>
      <c r="J14" s="121"/>
      <c r="K14" s="115" t="n">
        <f aca="false">COUNTIF($G$23:$G$82,"=PTE")+COUNTIF($G$23:$G$82,"=LIC")</f>
        <v>0</v>
      </c>
      <c r="L14" s="116"/>
      <c r="M14" s="131" t="s">
        <v>46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47</v>
      </c>
      <c r="B15" s="135"/>
      <c r="C15" s="136" t="n">
        <v>0.03</v>
      </c>
      <c r="D15" s="111"/>
      <c r="E15" s="111"/>
      <c r="F15" s="112" t="n">
        <f aca="false">($B15*$B$7+$C15*$C$7)/100</f>
        <v>0.0144</v>
      </c>
      <c r="G15" s="120"/>
      <c r="H15" s="68"/>
      <c r="I15" s="121" t="s">
        <v>48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49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50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51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52</v>
      </c>
      <c r="B17" s="118" t="n">
        <v>0.01</v>
      </c>
      <c r="C17" s="119" t="n">
        <v>13.3</v>
      </c>
      <c r="D17" s="111"/>
      <c r="E17" s="111"/>
      <c r="F17" s="143"/>
      <c r="G17" s="112" t="n">
        <f aca="false">($B17*$B$7+$C17*$C$7)/100</f>
        <v>6.3892</v>
      </c>
      <c r="H17" s="68"/>
      <c r="I17" s="121"/>
      <c r="J17" s="121"/>
      <c r="K17" s="142"/>
      <c r="L17" s="116"/>
      <c r="M17" s="137" t="s">
        <v>53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54</v>
      </c>
      <c r="B18" s="145"/>
      <c r="C18" s="146" t="n">
        <v>0.03</v>
      </c>
      <c r="D18" s="111"/>
      <c r="E18" s="147" t="s">
        <v>55</v>
      </c>
      <c r="F18" s="143"/>
      <c r="G18" s="112" t="n">
        <f aca="false">($B18*$B$7+$C18*$C$7)/100</f>
        <v>0.0144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6.4036</v>
      </c>
      <c r="G19" s="156" t="n">
        <f aca="false">SUM(G16:G18)</f>
        <v>6.4036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56</v>
      </c>
      <c r="B20" s="165" t="n">
        <f aca="false">SUM(B23:B82)</f>
        <v>0.0155477386934673</v>
      </c>
      <c r="C20" s="166" t="n">
        <f aca="false">SUM(C23:C82)</f>
        <v>13.3250544554455</v>
      </c>
      <c r="D20" s="167"/>
      <c r="E20" s="168" t="s">
        <v>55</v>
      </c>
      <c r="F20" s="169" t="n">
        <f aca="false">($B20*$B$7+$C20*$C$7)/100</f>
        <v>6.40411096273447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57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58</v>
      </c>
      <c r="B21" s="179" t="n">
        <f aca="false">B20*B7/100</f>
        <v>0.00808482412060302</v>
      </c>
      <c r="C21" s="179" t="n">
        <f aca="false">C20*C7/100</f>
        <v>6.39602613861386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6.40411096273447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59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60</v>
      </c>
      <c r="B22" s="190" t="s">
        <v>61</v>
      </c>
      <c r="C22" s="191" t="s">
        <v>61</v>
      </c>
      <c r="D22" s="140"/>
      <c r="E22" s="140"/>
      <c r="F22" s="192" t="s">
        <v>62</v>
      </c>
      <c r="G22" s="193" t="s">
        <v>63</v>
      </c>
      <c r="H22" s="140"/>
      <c r="I22" s="194" t="s">
        <v>64</v>
      </c>
      <c r="J22" s="194" t="s">
        <v>65</v>
      </c>
      <c r="K22" s="195" t="s">
        <v>66</v>
      </c>
      <c r="L22" s="195"/>
      <c r="M22" s="195"/>
      <c r="N22" s="195"/>
      <c r="O22" s="195"/>
      <c r="P22" s="196" t="s">
        <v>67</v>
      </c>
      <c r="Q22" s="197" t="s">
        <v>68</v>
      </c>
      <c r="R22" s="198" t="s">
        <v>69</v>
      </c>
      <c r="S22" s="199" t="s">
        <v>70</v>
      </c>
      <c r="T22" s="200" t="s">
        <v>71</v>
      </c>
      <c r="U22" s="201" t="s">
        <v>72</v>
      </c>
      <c r="V22" s="199" t="s">
        <v>73</v>
      </c>
      <c r="Y22" s="10" t="s">
        <v>74</v>
      </c>
      <c r="Z22" s="10" t="s">
        <v>75</v>
      </c>
      <c r="AA22" s="202" t="s">
        <v>76</v>
      </c>
      <c r="AB22" s="202" t="s">
        <v>77</v>
      </c>
      <c r="AC22" s="203" t="s">
        <v>78</v>
      </c>
    </row>
    <row r="23" customFormat="false" ht="15" hidden="false" customHeight="false" outlineLevel="0" collapsed="false">
      <c r="A23" s="204" t="s">
        <v>79</v>
      </c>
      <c r="B23" s="205" t="n">
        <v>0.0119597989949749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0.00621909547738694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0.00621909547738694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5" hidden="false" customHeight="false" outlineLevel="0" collapsed="false">
      <c r="A24" s="204" t="s">
        <v>80</v>
      </c>
      <c r="B24" s="205" t="n">
        <v>0</v>
      </c>
      <c r="C24" s="205" t="n">
        <v>1.66914191419142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2" t="e">
        <f aca="false">IF(D24="",0,VLOOKUP(D24,D$22:D23,1,0))</f>
        <v>#N/A</v>
      </c>
      <c r="F24" s="223" t="n">
        <f aca="false">($B24*$B$7+$C24*$C$7)/100</f>
        <v>0.801188118811881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5" t="n">
        <f aca="false">IF(ISTEXT(H24),"",(B24*$B$7/100)+(C24*$C$7/100))</f>
        <v>0.801188118811881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24</v>
      </c>
      <c r="T24" s="216" t="n">
        <f aca="false">IF(ISERROR(R24*I24*J24),0,R24*I24*J24)</f>
        <v>48</v>
      </c>
      <c r="U24" s="225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5" hidden="false" customHeight="false" outlineLevel="0" collapsed="false">
      <c r="A25" s="204" t="s">
        <v>16</v>
      </c>
      <c r="B25" s="205" t="n">
        <v>0</v>
      </c>
      <c r="C25" s="205" t="n">
        <v>9.54749174917492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Melosira sp.</v>
      </c>
      <c r="E25" s="222" t="e">
        <f aca="false">IF(D25="",0,VLOOKUP(D25,D$22:D24,1,0))</f>
        <v>#N/A</v>
      </c>
      <c r="F25" s="223" t="n">
        <f aca="false">($B25*$B$7+$C25*$C$7)/100</f>
        <v>4.58279603960396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Melosira sp.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8714</v>
      </c>
      <c r="Q25" s="215" t="n">
        <f aca="false">IF(ISTEXT(H25),"",(B25*$B$7/100)+(C25*$C$7/100))</f>
        <v>4.58279603960396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30</v>
      </c>
      <c r="T25" s="216" t="n">
        <f aca="false">IF(ISERROR(R25*I25*J25),0,R25*I25*J25)</f>
        <v>30</v>
      </c>
      <c r="U25" s="225" t="n">
        <f aca="false">IF(ISERROR(R25*J25),0,R25*J25)</f>
        <v>3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MELSPX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36</v>
      </c>
      <c r="AA25" s="220"/>
      <c r="AB25" s="221"/>
      <c r="AC25" s="221"/>
      <c r="BB25" s="10" t="n">
        <f aca="false">IF(A25="","",1)</f>
        <v>1</v>
      </c>
    </row>
    <row r="26" customFormat="false" ht="15" hidden="false" customHeight="false" outlineLevel="0" collapsed="false">
      <c r="A26" s="204" t="s">
        <v>81</v>
      </c>
      <c r="B26" s="205" t="n">
        <v>0</v>
      </c>
      <c r="C26" s="205" t="n">
        <v>0.00392739273927393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Mougeotia sp.</v>
      </c>
      <c r="E26" s="222" t="e">
        <f aca="false">IF(D26="",0,VLOOKUP(D26,D$22:D25,1,0))</f>
        <v>#N/A</v>
      </c>
      <c r="F26" s="223" t="n">
        <f aca="false">($B26*$B$7+$C26*$C$7)/100</f>
        <v>0.00188514851485149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Mougeotia sp.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1146</v>
      </c>
      <c r="Q26" s="215" t="n">
        <f aca="false">IF(ISTEXT(H26),"",(B26*$B$7/100)+(C26*$C$7/100))</f>
        <v>0.00188514851485149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5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MOUSPX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43</v>
      </c>
      <c r="AA26" s="220"/>
      <c r="AB26" s="221"/>
      <c r="AC26" s="221"/>
      <c r="BB26" s="10" t="n">
        <f aca="false">IF(A26="","",1)</f>
        <v>1</v>
      </c>
    </row>
    <row r="27" customFormat="false" ht="15" hidden="false" customHeight="false" outlineLevel="0" collapsed="false">
      <c r="A27" s="204" t="s">
        <v>82</v>
      </c>
      <c r="B27" s="205" t="n">
        <v>0</v>
      </c>
      <c r="C27" s="205" t="n">
        <v>0.210508250825083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Oedogonium sp.</v>
      </c>
      <c r="E27" s="222" t="e">
        <f aca="false">IF(D27="",0,VLOOKUP(D27,D$22:D26,1,0))</f>
        <v>#N/A</v>
      </c>
      <c r="F27" s="223" t="n">
        <f aca="false">($B27*$B$7+$C27*$C$7)/100</f>
        <v>0.10104396039604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6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Oedogonium sp.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1134</v>
      </c>
      <c r="Q27" s="215" t="n">
        <f aca="false">IF(ISTEXT(H27),"",(B27*$B$7/100)+(C27*$C$7/100))</f>
        <v>0.10104396039604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12</v>
      </c>
      <c r="T27" s="216" t="n">
        <f aca="false">IF(ISERROR(R27*I27*J27),0,R27*I27*J27)</f>
        <v>24</v>
      </c>
      <c r="U27" s="225" t="n">
        <f aca="false">IF(ISERROR(R27*J27),0,R27*J27)</f>
        <v>4</v>
      </c>
      <c r="V27" s="217" t="str">
        <f aca="false">IF(AND(A27="",F27=0),"",IF(F27=0,"Il manque le(s) % de rec. !",""))</f>
        <v/>
      </c>
      <c r="W27" s="226"/>
      <c r="Y27" s="219" t="str">
        <f aca="false">IF(A27="new.cod","NEWCOD",IF(AND((Z27=""),ISTEXT(A27)),A27,IF(Z27="","",INDEX('[1]liste reference'!$A$8:$A$904,Z27))))</f>
        <v>OEDSPX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55</v>
      </c>
      <c r="AA27" s="220"/>
      <c r="AB27" s="221"/>
      <c r="AC27" s="221"/>
      <c r="BB27" s="10" t="n">
        <f aca="false">IF(A27="","",1)</f>
        <v>1</v>
      </c>
    </row>
    <row r="28" customFormat="false" ht="15" hidden="false" customHeight="false" outlineLevel="0" collapsed="false">
      <c r="A28" s="204" t="s">
        <v>83</v>
      </c>
      <c r="B28" s="205" t="n">
        <v>0</v>
      </c>
      <c r="C28" s="205" t="n">
        <v>0.0589108910891089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Phormidium sp.</v>
      </c>
      <c r="E28" s="222" t="e">
        <f aca="false">IF(D28="",0,VLOOKUP(D28,D$22:D27,1,0))</f>
        <v>#N/A</v>
      </c>
      <c r="F28" s="223" t="n">
        <f aca="false">($B28*$B$7+$C28*$C$7)/100</f>
        <v>0.0282772277227723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Phormidium sp.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6414</v>
      </c>
      <c r="Q28" s="215" t="n">
        <f aca="false">IF(ISTEXT(H28),"",(B28*$B$7/100)+(C28*$C$7/100))</f>
        <v>0.0282772277227723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13</v>
      </c>
      <c r="T28" s="216" t="n">
        <f aca="false">IF(ISERROR(R28*I28*J28),0,R28*I28*J28)</f>
        <v>26</v>
      </c>
      <c r="U28" s="225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PHOSPX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57</v>
      </c>
      <c r="AA28" s="220"/>
      <c r="AB28" s="221"/>
      <c r="AC28" s="221"/>
      <c r="BB28" s="10" t="n">
        <f aca="false">IF(A28="","",1)</f>
        <v>1</v>
      </c>
    </row>
    <row r="29" customFormat="false" ht="15" hidden="false" customHeight="false" outlineLevel="0" collapsed="false">
      <c r="A29" s="204" t="s">
        <v>84</v>
      </c>
      <c r="B29" s="205" t="n">
        <v>0.00358793969849246</v>
      </c>
      <c r="C29" s="205" t="n">
        <v>0.125676567656766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Spirogyra sp.</v>
      </c>
      <c r="E29" s="222" t="e">
        <f aca="false">IF(D29="",0,VLOOKUP(D29,D$22:D28,1,0))</f>
        <v>#N/A</v>
      </c>
      <c r="F29" s="223" t="n">
        <f aca="false">($B29*$B$7+$C29*$C$7)/100</f>
        <v>0.0621904811184636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10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Spirogyra sp.</v>
      </c>
      <c r="L29" s="224"/>
      <c r="M29" s="224"/>
      <c r="N29" s="224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1147</v>
      </c>
      <c r="Q29" s="215" t="n">
        <f aca="false">IF(ISTEXT(H29),"",(B29*$B$7/100)+(C29*$C$7/100))</f>
        <v>0.0621904811184636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10</v>
      </c>
      <c r="T29" s="216" t="n">
        <f aca="false">IF(ISERROR(R29*I29*J29),0,R29*I29*J29)</f>
        <v>10</v>
      </c>
      <c r="U29" s="225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SPISPX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69</v>
      </c>
      <c r="AA29" s="220"/>
      <c r="AB29" s="221"/>
      <c r="AC29" s="221"/>
      <c r="BB29" s="10" t="n">
        <f aca="false">IF(A29="","",1)</f>
        <v>1</v>
      </c>
    </row>
    <row r="30" customFormat="false" ht="15" hidden="false" customHeight="false" outlineLevel="0" collapsed="false">
      <c r="A30" s="204" t="s">
        <v>85</v>
      </c>
      <c r="B30" s="205" t="n">
        <v>0</v>
      </c>
      <c r="C30" s="205" t="n">
        <v>1.48062706270627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Ulothrix sp.</v>
      </c>
      <c r="E30" s="222" t="e">
        <f aca="false">IF(D30="",0,VLOOKUP(D30,D$22:D29,1,0))</f>
        <v>#N/A</v>
      </c>
      <c r="F30" s="223" t="n">
        <f aca="false">($B30*$B$7+$C30*$C$7)/100</f>
        <v>0.71070099009901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Ulothrix sp.</v>
      </c>
      <c r="L30" s="224"/>
      <c r="M30" s="224"/>
      <c r="N30" s="224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1142</v>
      </c>
      <c r="Q30" s="215" t="n">
        <f aca="false">IF(ISTEXT(H30),"",(B30*$B$7/100)+(C30*$C$7/100))</f>
        <v>0.71070099009901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20</v>
      </c>
      <c r="T30" s="216" t="n">
        <f aca="false">IF(ISERROR(R30*I30*J30),0,R30*I30*J30)</f>
        <v>20</v>
      </c>
      <c r="U30" s="225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ULOSPX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81</v>
      </c>
      <c r="AA30" s="220"/>
      <c r="AB30" s="221"/>
      <c r="AC30" s="221"/>
      <c r="BB30" s="10" t="n">
        <f aca="false">IF(A30="","",1)</f>
        <v>1</v>
      </c>
    </row>
    <row r="31" customFormat="false" ht="15" hidden="false" customHeight="false" outlineLevel="0" collapsed="false">
      <c r="A31" s="204" t="s">
        <v>86</v>
      </c>
      <c r="B31" s="205" t="n">
        <v>0</v>
      </c>
      <c r="C31" s="205" t="n">
        <v>0.213061056105611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Vaucheria sp.</v>
      </c>
      <c r="E31" s="222" t="e">
        <f aca="false">IF(D31="",0,VLOOKUP(D31,D$22:D30,1,0))</f>
        <v>#N/A</v>
      </c>
      <c r="F31" s="223" t="n">
        <f aca="false">($B31*$B$7+$C31*$C$7)/100</f>
        <v>0.102269306930693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4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Vaucheria sp.</v>
      </c>
      <c r="L31" s="224"/>
      <c r="M31" s="224"/>
      <c r="N31" s="224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6193</v>
      </c>
      <c r="Q31" s="215" t="n">
        <f aca="false">IF(ISTEXT(H31),"",(B31*$B$7/100)+(C31*$C$7/100))</f>
        <v>0.102269306930693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8</v>
      </c>
      <c r="T31" s="216" t="n">
        <f aca="false">IF(ISERROR(R31*I31*J31),0,R31*I31*J31)</f>
        <v>8</v>
      </c>
      <c r="U31" s="225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VAUSPX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82</v>
      </c>
      <c r="AA31" s="220"/>
      <c r="AB31" s="221"/>
      <c r="AC31" s="221"/>
      <c r="BB31" s="10" t="n">
        <f aca="false">IF(A31="","",1)</f>
        <v>1</v>
      </c>
    </row>
    <row r="32" customFormat="false" ht="15" hidden="false" customHeight="false" outlineLevel="0" collapsed="false">
      <c r="A32" s="227" t="s">
        <v>87</v>
      </c>
      <c r="B32" s="205" t="n">
        <v>0</v>
      </c>
      <c r="C32" s="205" t="n">
        <v>0.00392739273927393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Amblystegium riparium</v>
      </c>
      <c r="E32" s="222" t="e">
        <f aca="false">IF(D32="",0,VLOOKUP(D32,D$22:D31,1,0))</f>
        <v>#N/A</v>
      </c>
      <c r="F32" s="223" t="n">
        <f aca="false">($B32*$B$7+$C32*$C$7)/100</f>
        <v>0.00188514851485149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5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Amblystegium riparium</v>
      </c>
      <c r="L32" s="224"/>
      <c r="M32" s="224"/>
      <c r="N32" s="224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1219</v>
      </c>
      <c r="Q32" s="215" t="n">
        <f aca="false">IF(ISTEXT(H32),"",(B32*$B$7/100)+(C32*$C$7/100))</f>
        <v>0.00188514851485149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5</v>
      </c>
      <c r="T32" s="216" t="n">
        <f aca="false">IF(ISERROR(R32*I32*J32),0,R32*I32*J32)</f>
        <v>10</v>
      </c>
      <c r="U32" s="225" t="n">
        <f aca="false">IF(ISERROR(R32*J32),0,R32*J32)</f>
        <v>2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AMBRIP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148</v>
      </c>
      <c r="AA32" s="220"/>
      <c r="AB32" s="221"/>
      <c r="AC32" s="221"/>
      <c r="BB32" s="10" t="n">
        <f aca="false">IF(A32="","",1)</f>
        <v>1</v>
      </c>
    </row>
    <row r="33" customFormat="false" ht="15" hidden="false" customHeight="false" outlineLevel="0" collapsed="false">
      <c r="A33" s="228" t="s">
        <v>88</v>
      </c>
      <c r="B33" s="205" t="n">
        <v>0</v>
      </c>
      <c r="C33" s="205" t="n">
        <v>0.00392739273927393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Agrostis stolonifera</v>
      </c>
      <c r="E33" s="222" t="e">
        <f aca="false">IF(D33="",0,VLOOKUP(D33,D$22:D32,1,0))</f>
        <v>#N/A</v>
      </c>
      <c r="F33" s="223" t="n">
        <f aca="false">($B33*$B$7+$C33*$C$7)/100</f>
        <v>0.00188514851485149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10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Agrostis stolonifera</v>
      </c>
      <c r="L33" s="224"/>
      <c r="M33" s="224"/>
      <c r="N33" s="224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1543</v>
      </c>
      <c r="Q33" s="215" t="n">
        <f aca="false">IF(ISTEXT(H33),"",(B33*$B$7/100)+(C33*$C$7/100))</f>
        <v>0.00188514851485149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10</v>
      </c>
      <c r="T33" s="216" t="n">
        <f aca="false">IF(ISERROR(R33*I33*J33),0,R33*I33*J33)</f>
        <v>10</v>
      </c>
      <c r="U33" s="225" t="n">
        <f aca="false">IF(ISERROR(R33*J33),0,R33*J33)</f>
        <v>1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AGRSTO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514</v>
      </c>
      <c r="AA33" s="220"/>
      <c r="AB33" s="221"/>
      <c r="AC33" s="221"/>
      <c r="BB33" s="10" t="n">
        <f aca="false">IF(A33="","",1)</f>
        <v>1</v>
      </c>
    </row>
    <row r="34" customFormat="false" ht="15" hidden="false" customHeight="false" outlineLevel="0" collapsed="false">
      <c r="A34" s="228" t="s">
        <v>89</v>
      </c>
      <c r="B34" s="205" t="n">
        <v>0</v>
      </c>
      <c r="C34" s="205" t="n">
        <v>0.00392739273927393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Phalaris arundinacea</v>
      </c>
      <c r="E34" s="222" t="e">
        <f aca="false">IF(D34="",0,VLOOKUP(D34,D$22:D33,1,0))</f>
        <v>#N/A</v>
      </c>
      <c r="F34" s="229" t="n">
        <f aca="false">($B34*$B$7+$C34*$C$7)/100</f>
        <v>0.00188514851485149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Phalaris arundinacea</v>
      </c>
      <c r="L34" s="224"/>
      <c r="M34" s="224"/>
      <c r="N34" s="224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1577</v>
      </c>
      <c r="Q34" s="215" t="n">
        <f aca="false">IF(ISTEXT(H34),"",(B34*$B$7/100)+(C34*$C$7/100))</f>
        <v>0.00188514851485149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10</v>
      </c>
      <c r="T34" s="216" t="n">
        <f aca="false">IF(ISERROR(R34*I34*J34),0,R34*I34*J34)</f>
        <v>10</v>
      </c>
      <c r="U34" s="225" t="n">
        <f aca="false">IF(ISERROR(R34*J34),0,R34*J34)</f>
        <v>1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PHAARU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634</v>
      </c>
      <c r="AA34" s="220"/>
      <c r="AB34" s="221"/>
      <c r="AC34" s="221"/>
      <c r="BB34" s="10" t="n">
        <f aca="false">IF(A34="","",1)</f>
        <v>1</v>
      </c>
    </row>
    <row r="35" customFormat="false" ht="15" hidden="false" customHeight="false" outlineLevel="0" collapsed="false">
      <c r="A35" s="228" t="s">
        <v>90</v>
      </c>
      <c r="B35" s="205" t="n">
        <v>0</v>
      </c>
      <c r="C35" s="205" t="n">
        <v>0.00392739273927393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Phragmites australis</v>
      </c>
      <c r="E35" s="222" t="e">
        <f aca="false">IF(D35="",0,VLOOKUP(D35,D$22:D34,1,0))</f>
        <v>#N/A</v>
      </c>
      <c r="F35" s="229" t="n">
        <f aca="false">($B35*$B$7+$C35*$C$7)/100</f>
        <v>0.00188514851485149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9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Phragmites australis</v>
      </c>
      <c r="L35" s="224"/>
      <c r="M35" s="224"/>
      <c r="N35" s="224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1579</v>
      </c>
      <c r="Q35" s="215" t="n">
        <f aca="false">IF(ISTEXT(H35),"",(B35*$B$7/100)+(C35*$C$7/100))</f>
        <v>0.00188514851485149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9</v>
      </c>
      <c r="T35" s="216" t="n">
        <f aca="false">IF(ISERROR(R35*I35*J35),0,R35*I35*J35)</f>
        <v>18</v>
      </c>
      <c r="U35" s="225" t="n">
        <f aca="false">IF(ISERROR(R35*J35),0,R35*J35)</f>
        <v>2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PHRAUS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635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30"/>
      <c r="B36" s="231"/>
      <c r="C36" s="232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2" t="n">
        <f aca="false">IF(D36="",0,VLOOKUP(D36,D$22:D35,1,0))</f>
        <v>0</v>
      </c>
      <c r="F36" s="229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4"/>
      <c r="M36" s="224"/>
      <c r="N36" s="224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5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30"/>
      <c r="B37" s="231"/>
      <c r="C37" s="232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2" t="n">
        <f aca="false">IF(D37="",0,VLOOKUP(D37,D$22:D36,1,0))</f>
        <v>0</v>
      </c>
      <c r="F37" s="229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4"/>
      <c r="M37" s="224"/>
      <c r="N37" s="224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5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30"/>
      <c r="B38" s="231"/>
      <c r="C38" s="232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2" t="n">
        <f aca="false">IF(D38="",0,VLOOKUP(D38,D$22:D37,1,0))</f>
        <v>0</v>
      </c>
      <c r="F38" s="229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4"/>
      <c r="M38" s="224"/>
      <c r="N38" s="224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5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30"/>
      <c r="B39" s="231"/>
      <c r="C39" s="232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2" t="n">
        <f aca="false">IF(D39="",0,VLOOKUP(D39,D$22:D38,1,0))</f>
        <v>0</v>
      </c>
      <c r="F39" s="229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4"/>
      <c r="M39" s="224"/>
      <c r="N39" s="224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5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30"/>
      <c r="B40" s="231"/>
      <c r="C40" s="232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2" t="n">
        <f aca="false">IF(D40="",0,VLOOKUP(D40,D$22:D39,1,0))</f>
        <v>0</v>
      </c>
      <c r="F40" s="229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4"/>
      <c r="M40" s="224"/>
      <c r="N40" s="224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30"/>
      <c r="B41" s="231"/>
      <c r="C41" s="232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2" t="n">
        <f aca="false">IF(D41="",0,VLOOKUP(D41,D$22:D40,1,0))</f>
        <v>0</v>
      </c>
      <c r="F41" s="229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4"/>
      <c r="M41" s="224"/>
      <c r="N41" s="224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5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30"/>
      <c r="B42" s="231"/>
      <c r="C42" s="232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2" t="n">
        <f aca="false">IF(D42="",0,VLOOKUP(D42,D$22:D41,1,0))</f>
        <v>0</v>
      </c>
      <c r="F42" s="229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30"/>
      <c r="B43" s="231"/>
      <c r="C43" s="232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2" t="n">
        <f aca="false">IF(D43="",0,VLOOKUP(D43,D$22:D42,1,0))</f>
        <v>0</v>
      </c>
      <c r="F43" s="229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30"/>
      <c r="B44" s="231"/>
      <c r="C44" s="232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2" t="n">
        <f aca="false">IF(D44="",0,VLOOKUP(D44,D$22:D43,1,0))</f>
        <v>0</v>
      </c>
      <c r="F44" s="229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30"/>
      <c r="B45" s="231"/>
      <c r="C45" s="232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2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30"/>
      <c r="B46" s="231"/>
      <c r="C46" s="232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2" t="n">
        <f aca="false">IF(D46="",0,VLOOKUP(D46,D$22:D39,1,0))</f>
        <v>0</v>
      </c>
      <c r="F46" s="229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30"/>
      <c r="B47" s="231"/>
      <c r="C47" s="232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2" t="n">
        <f aca="false">IF(D47="",0,VLOOKUP(D47,D$22:D39,1,0))</f>
        <v>0</v>
      </c>
      <c r="F47" s="229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30"/>
      <c r="B48" s="231"/>
      <c r="C48" s="232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2" t="n">
        <f aca="false">IF(D48="",0,VLOOKUP(D48,D$22:D40,1,0))</f>
        <v>0</v>
      </c>
      <c r="F48" s="229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30"/>
      <c r="B49" s="231"/>
      <c r="C49" s="232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2" t="n">
        <f aca="false">IF(D49="",0,VLOOKUP(D49,D$22:D48,1,0))</f>
        <v>0</v>
      </c>
      <c r="F49" s="229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30"/>
      <c r="B50" s="231"/>
      <c r="C50" s="232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2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30"/>
      <c r="B51" s="231"/>
      <c r="C51" s="232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2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4"/>
      <c r="M51" s="224"/>
      <c r="N51" s="224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30"/>
      <c r="B52" s="231"/>
      <c r="C52" s="232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2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4"/>
      <c r="M52" s="224"/>
      <c r="N52" s="224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30"/>
      <c r="B53" s="231"/>
      <c r="C53" s="232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2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4"/>
      <c r="M53" s="224"/>
      <c r="N53" s="224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30"/>
      <c r="B54" s="231"/>
      <c r="C54" s="232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2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4"/>
      <c r="M54" s="224"/>
      <c r="N54" s="224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30"/>
      <c r="B55" s="231"/>
      <c r="C55" s="232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2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30"/>
      <c r="B56" s="231"/>
      <c r="C56" s="232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2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30"/>
      <c r="B57" s="231"/>
      <c r="C57" s="232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2" t="n">
        <f aca="false">IF(D57="",0,VLOOKUP(D57,D$21:D56,1,0))</f>
        <v>0</v>
      </c>
      <c r="F57" s="229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3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30"/>
      <c r="B58" s="231"/>
      <c r="C58" s="232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2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30"/>
      <c r="B59" s="231"/>
      <c r="C59" s="232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2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4"/>
      <c r="M59" s="234"/>
      <c r="N59" s="234"/>
      <c r="O59" s="213"/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30"/>
      <c r="B60" s="231"/>
      <c r="C60" s="232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2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4"/>
      <c r="M60" s="234"/>
      <c r="N60" s="234"/>
      <c r="O60" s="213"/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30"/>
      <c r="B61" s="231"/>
      <c r="C61" s="232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2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30"/>
      <c r="B62" s="231"/>
      <c r="C62" s="232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2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30"/>
      <c r="B63" s="231"/>
      <c r="C63" s="232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2" t="n">
        <f aca="false">IF(D63="",0,VLOOKUP(D63,D$22:D62,1,0))</f>
        <v>0</v>
      </c>
      <c r="F63" s="229" t="n">
        <f aca="false">($B63*$B$7+$C63*$C$7)/100</f>
        <v>0</v>
      </c>
      <c r="G63" s="236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7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30"/>
      <c r="B64" s="231"/>
      <c r="C64" s="232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2" t="n">
        <f aca="false">IF(D64="",0,VLOOKUP(D64,D$22:D52,1,0))</f>
        <v>0</v>
      </c>
      <c r="F64" s="229" t="n">
        <f aca="false">($B64*$B$7+$C64*$C$7)/100</f>
        <v>0</v>
      </c>
      <c r="G64" s="23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9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30"/>
      <c r="B65" s="231"/>
      <c r="C65" s="232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2" t="n">
        <f aca="false">IF(D65="",0,VLOOKUP(D65,D$22:D53,1,0))</f>
        <v>0</v>
      </c>
      <c r="F65" s="229" t="n">
        <f aca="false">($B65*$B$7+$C65*$C$7)/100</f>
        <v>0</v>
      </c>
      <c r="G65" s="23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9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30"/>
      <c r="B66" s="231"/>
      <c r="C66" s="232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2" t="n">
        <f aca="false">IF(D66="",0,VLOOKUP(D66,D$22:D51,1,0))</f>
        <v>0</v>
      </c>
      <c r="F66" s="229" t="n">
        <f aca="false">($B66*$B$7+$C66*$C$7)/100</f>
        <v>0</v>
      </c>
      <c r="G66" s="23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9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30"/>
      <c r="B67" s="231"/>
      <c r="C67" s="232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2" t="n">
        <f aca="false">IF(D67="",0,VLOOKUP(D67,D$22:D52,1,0))</f>
        <v>0</v>
      </c>
      <c r="F67" s="229" t="n">
        <f aca="false">($B67*$B$7+$C67*$C$7)/100</f>
        <v>0</v>
      </c>
      <c r="G67" s="23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9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30"/>
      <c r="B68" s="231"/>
      <c r="C68" s="232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2" t="n">
        <f aca="false">IF(D68="",0,VLOOKUP(D68,D$22:D53,1,0))</f>
        <v>0</v>
      </c>
      <c r="F68" s="229" t="n">
        <f aca="false">($B68*$B$7+$C68*$C$7)/100</f>
        <v>0</v>
      </c>
      <c r="G68" s="23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9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30"/>
      <c r="B69" s="231"/>
      <c r="C69" s="232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2" t="n">
        <f aca="false">IF(D69="",0,VLOOKUP(D69,D$22:D54,1,0))</f>
        <v>0</v>
      </c>
      <c r="F69" s="229" t="n">
        <f aca="false">($B69*$B$7+$C69*$C$7)/100</f>
        <v>0</v>
      </c>
      <c r="G69" s="23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9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30"/>
      <c r="B70" s="231"/>
      <c r="C70" s="232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2" t="n">
        <f aca="false">IF(D70="",0,VLOOKUP(D70,D$22:D55,1,0))</f>
        <v>0</v>
      </c>
      <c r="F70" s="229" t="n">
        <f aca="false">($B70*$B$7+$C70*$C$7)/100</f>
        <v>0</v>
      </c>
      <c r="G70" s="23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9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30"/>
      <c r="B71" s="231"/>
      <c r="C71" s="232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2" t="n">
        <f aca="false">IF(D71="",0,VLOOKUP(D71,D$22:D56,1,0))</f>
        <v>0</v>
      </c>
      <c r="F71" s="229" t="n">
        <f aca="false">($B71*$B$7+$C71*$C$7)/100</f>
        <v>0</v>
      </c>
      <c r="G71" s="23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9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30"/>
      <c r="B72" s="231"/>
      <c r="C72" s="232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2" t="n">
        <f aca="false">IF(D72="",0,VLOOKUP(D72,D$22:D57,1,0))</f>
        <v>0</v>
      </c>
      <c r="F72" s="229" t="n">
        <f aca="false">($B72*$B$7+$C72*$C$7)/100</f>
        <v>0</v>
      </c>
      <c r="G72" s="23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9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30"/>
      <c r="B73" s="231"/>
      <c r="C73" s="232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2" t="n">
        <f aca="false">IF(D73="",0,VLOOKUP(D73,D$22:D57,1,0))</f>
        <v>0</v>
      </c>
      <c r="F73" s="229" t="n">
        <f aca="false">($B73*$B$7+$C73*$C$7)/100</f>
        <v>0</v>
      </c>
      <c r="G73" s="23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9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30"/>
      <c r="B74" s="231"/>
      <c r="C74" s="232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2" t="n">
        <f aca="false">IF(D74="",0,VLOOKUP(D74,D$22:D58,1,0))</f>
        <v>0</v>
      </c>
      <c r="F74" s="229" t="n">
        <f aca="false">($B74*$B$7+$C74*$C$7)/100</f>
        <v>0</v>
      </c>
      <c r="G74" s="23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9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30"/>
      <c r="B75" s="231"/>
      <c r="C75" s="232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2" t="n">
        <f aca="false">IF(D75="",0,VLOOKUP(D75,D$22:D59,1,0))</f>
        <v>0</v>
      </c>
      <c r="F75" s="229" t="n">
        <f aca="false">($B75*$B$7+$C75*$C$7)/100</f>
        <v>0</v>
      </c>
      <c r="G75" s="23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9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30"/>
      <c r="B76" s="231"/>
      <c r="C76" s="232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2" t="n">
        <f aca="false">IF(D76="",0,VLOOKUP(D76,D$22:D59,1,0))</f>
        <v>0</v>
      </c>
      <c r="F76" s="229" t="n">
        <f aca="false">($B76*$B$7+$C76*$C$7)/100</f>
        <v>0</v>
      </c>
      <c r="G76" s="23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9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30"/>
      <c r="B77" s="231"/>
      <c r="C77" s="232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2" t="n">
        <f aca="false">IF(D77="",0,VLOOKUP(D77,D$22:D75,1,0))</f>
        <v>0</v>
      </c>
      <c r="F77" s="229" t="n">
        <f aca="false">($B77*$B$7+$C77*$C$7)/100</f>
        <v>0</v>
      </c>
      <c r="G77" s="23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9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30"/>
      <c r="B78" s="231"/>
      <c r="C78" s="232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2" t="n">
        <f aca="false">IF(D78="",0,VLOOKUP(D78,D$22:D75,1,0))</f>
        <v>0</v>
      </c>
      <c r="F78" s="229" t="n">
        <f aca="false">($B78*$B$7+$C78*$C$7)/100</f>
        <v>0</v>
      </c>
      <c r="G78" s="23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9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30"/>
      <c r="B79" s="231"/>
      <c r="C79" s="232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2" t="n">
        <f aca="false">IF(D79="",0,VLOOKUP(D79,D$22:D75,1,0))</f>
        <v>0</v>
      </c>
      <c r="F79" s="229" t="n">
        <f aca="false">($B79*$B$7+$C79*$C$7)/100</f>
        <v>0</v>
      </c>
      <c r="G79" s="23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9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30"/>
      <c r="B80" s="231"/>
      <c r="C80" s="232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2" t="n">
        <f aca="false">IF(D80="",0,VLOOKUP(D80,D$22:D79,1,0))</f>
        <v>0</v>
      </c>
      <c r="F80" s="229" t="n">
        <f aca="false">($B80*$B$7+$C80*$C$7)/100</f>
        <v>0</v>
      </c>
      <c r="G80" s="23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9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30"/>
      <c r="B81" s="231"/>
      <c r="C81" s="232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2" t="n">
        <f aca="false">IF(D81="",0,VLOOKUP(D81,D$21:D80,1,0))</f>
        <v>0</v>
      </c>
      <c r="F81" s="229" t="n">
        <f aca="false">($B81*$B$7+$C81*$C$7)/100</f>
        <v>0</v>
      </c>
      <c r="G81" s="23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9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4"/>
      <c r="M81" s="234"/>
      <c r="N81" s="234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40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8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9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53"/>
      <c r="X82" s="254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5" t="s">
        <v>91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Isère</v>
      </c>
      <c r="B84" s="260" t="str">
        <f aca="false">C3</f>
        <v>Isère à Chateauneuf sur Isère</v>
      </c>
      <c r="C84" s="261" t="n">
        <f aca="false">A4</f>
        <v>41542</v>
      </c>
      <c r="D84" s="262" t="n">
        <f aca="false">IF(ISERROR(SUM($T$23:$T$82)/SUM($U$23:$U$82)),"",SUM($T$23:$T$82)/SUM($U$23:$U$82))</f>
        <v>9.11111111111111</v>
      </c>
      <c r="E84" s="263" t="n">
        <f aca="false">N13</f>
        <v>13</v>
      </c>
      <c r="F84" s="260" t="n">
        <f aca="false">N14</f>
        <v>13</v>
      </c>
      <c r="G84" s="260" t="n">
        <f aca="false">N15</f>
        <v>7</v>
      </c>
      <c r="H84" s="260" t="n">
        <f aca="false">N16</f>
        <v>6</v>
      </c>
      <c r="I84" s="260" t="n">
        <f aca="false">N17</f>
        <v>0</v>
      </c>
      <c r="J84" s="264" t="n">
        <f aca="false">N8</f>
        <v>9.07692307692308</v>
      </c>
      <c r="K84" s="262" t="n">
        <f aca="false">N9</f>
        <v>2.84095158655683</v>
      </c>
      <c r="L84" s="263" t="n">
        <f aca="false">N10</f>
        <v>4</v>
      </c>
      <c r="M84" s="263" t="n">
        <f aca="false">N11</f>
        <v>13</v>
      </c>
      <c r="N84" s="262" t="n">
        <f aca="false">O8</f>
        <v>1.46153846153846</v>
      </c>
      <c r="O84" s="262" t="n">
        <f aca="false">O9</f>
        <v>0.498518515262143</v>
      </c>
      <c r="P84" s="263" t="n">
        <f aca="false">O10</f>
        <v>1</v>
      </c>
      <c r="Q84" s="263" t="n">
        <f aca="false">O11</f>
        <v>2</v>
      </c>
      <c r="R84" s="263" t="n">
        <f aca="false">F21</f>
        <v>6.40411096273447</v>
      </c>
      <c r="S84" s="263" t="n">
        <f aca="false">K11</f>
        <v>0</v>
      </c>
      <c r="T84" s="263" t="n">
        <f aca="false">K12</f>
        <v>9</v>
      </c>
      <c r="U84" s="263" t="n">
        <f aca="false">K13</f>
        <v>1</v>
      </c>
      <c r="V84" s="265" t="n">
        <f aca="false">K14</f>
        <v>0</v>
      </c>
      <c r="W84" s="266" t="n">
        <f aca="false">K15</f>
        <v>3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92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7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95</v>
      </c>
      <c r="R89" s="10"/>
      <c r="S89" s="217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9" t="n">
        <f aca="false">IF(ISERROR(SUM($T$23:$T$82)/SUM($U$23:$U$82)),"",(SUM($T$23:$T$82)-S88)/(SUM($U$23:$U$82)-S89))</f>
        <v>9</v>
      </c>
      <c r="T90" s="10"/>
    </row>
    <row r="91" customFormat="false" ht="12.75" hidden="false" customHeight="false" outlineLevel="0" collapsed="false">
      <c r="Q91" s="216" t="s">
        <v>97</v>
      </c>
      <c r="R91" s="216"/>
      <c r="S91" s="216" t="str">
        <f aca="false">INDEX('[1]liste reference'!$A$8:$A$904,$T$91)</f>
        <v>MELSPX</v>
      </c>
      <c r="T91" s="10" t="n">
        <f aca="false">IF(ISERROR(MATCH($S$93,'[1]liste reference'!$A$8:$A$904,0)),MATCH($S$93,'[1]liste reference'!$B$8:$B$904,0),(MATCH($S$93,'[1]liste reference'!$A$8:$A$904,0)))</f>
        <v>36</v>
      </c>
      <c r="U91" s="258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99</v>
      </c>
      <c r="R93" s="10"/>
      <c r="S93" s="216" t="str">
        <f aca="false">INDEX($A$23:$A$82,$S$92)</f>
        <v>MELSPX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6:A82">
    <cfRule type="expression" priority="2" aboveAverage="0" equalAverage="0" bottom="0" percent="0" rank="0" text="" dxfId="0">
      <formula>ISTEXT($E36)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5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2013-12-17T10:58:14Z</dcterms:created>
  <dc:creator>Laurent Bourgoin</dc:creator>
  <dc:description/>
  <dc:language>fr-FR</dc:language>
  <cp:lastModifiedBy>Laurent Bourgoin</cp:lastModifiedBy>
  <dcterms:modified xsi:type="dcterms:W3CDTF">2013-12-17T10:58:17Z</dcterms:modified>
  <cp:revision>0</cp:revision>
  <dc:subject/>
  <dc:title/>
</cp:coreProperties>
</file>