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olo a Campile" sheetId="7" state="visible" r:id="rId9"/>
    <sheet name="liste codes réf" sheetId="8" state="hidden" r:id="rId10"/>
  </sheets>
  <definedNames>
    <definedName function="false" hidden="false" localSheetId="6" name="_xlnm.Print_Area" vbProcedure="false">'Golo a Campile'!$A$1:$Q$82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'Golo a Campile'!$A$1:$C$1415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<sst xmlns="http://schemas.openxmlformats.org/spreadsheetml/2006/main" count="10009" uniqueCount="3493">
  <si>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</si>
  <si>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</si>
  <si>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</si>
  <si>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</si>
  <si>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</si>
  <si>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</si>
  <si>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</si>
  <si>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</si>
  <si>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</si>
  <si>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</si>
  <si>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</si>
  <si>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</si>
  <si>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</si>
  <si>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</si>
  <si>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</si>
  <si>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</si>
  <si>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</si>
  <si>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</si>
  <si>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</si>
  <si>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</si>
  <si>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</si>
  <si>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</si>
  <si>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</si>
  <si>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</si>
  <si>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</si>
  <si>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</si>
  <si>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</si>
  <si>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</si>
  <si>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</si>
  <si>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</si>
  <si>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</si>
  <si>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</si>
  <si>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</si>
  <si>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</si>
  <si>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</si>
  <si>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</si>
  <si>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</si>
  <si>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</si>
  <si>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</si>
  <si>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</si>
  <si>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</si>
  <si>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</si>
  <si>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</si>
  <si>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</si>
  <si>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</si>
  <si>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</si>
  <si>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</si>
  <si>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</si>
  <si>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</si>
  <si>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</si>
  <si>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</si>
  <si>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</si>
  <si>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</si>
  <si>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</si>
  <si>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</si>
  <si>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</si>
  <si>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</si>
  <si>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</si>
  <si>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</si>
  <si>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</si>
  <si>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</si>
  <si>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</si>
  <si>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</si>
  <si>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</si>
  <si>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</si>
  <si>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</si>
  <si>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</si>
  <si>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</si>
  <si>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</si>
  <si>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</si>
  <si>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</si>
  <si>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</si>
  <si>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</si>
  <si>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</si>
  <si>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</si>
  <si>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</si>
  <si>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</si>
  <si>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</si>
  <si>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</si>
  <si>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</si>
  <si>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</si>
  <si>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</si>
  <si>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</si>
  <si>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</si>
  <si>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</si>
  <si>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</si>
  <si>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</si>
  <si>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</si>
  <si>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</si>
  <si>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</si>
  <si>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</si>
  <si>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</si>
  <si>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</si>
  <si>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</si>
  <si>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</si>
  <si>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</si>
  <si>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</si>
  <si>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</si>
  <si>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</si>
  <si>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</si>
  <si>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</si>
  <si>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</si>
  <si>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</si>
  <si>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</si>
  <si>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</si>
  <si>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</si>
  <si>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</si>
  <si>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</si>
  <si>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</si>
  <si>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</si>
  <si>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</si>
  <si>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</si>
  <si>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</si>
  <si>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</si>
  <si>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</si>
  <si>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</si>
  <si>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</si>
  <si>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</si>
  <si>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</si>
  <si>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</si>
  <si>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</si>
  <si>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</si>
  <si>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</si>
  <si>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</si>
  <si>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</si>
  <si>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</si>
  <si>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</si>
  <si>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</si>
  <si>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</si>
  <si>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</si>
  <si>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</si>
  <si>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</si>
  <si>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</si>
  <si>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</si>
  <si>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</si>
  <si>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</si>
  <si>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</si>
  <si>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</si>
  <si>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</si>
  <si>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</si>
  <si>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</si>
  <si>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</si>
  <si>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</si>
  <si>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</si>
  <si>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</si>
  <si>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</si>
  <si>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</si>
  <si>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</si>
  <si>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</si>
  <si>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</si>
  <si>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</si>
  <si>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</si>
  <si>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</si>
  <si>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</si>
  <si>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</si>
  <si>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</si>
  <si>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</si>
  <si>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</si>
  <si>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</si>
  <si>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</si>
  <si>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</si>
  <si>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</si>
  <si>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</si>
  <si>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</si>
  <si>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</si>
  <si>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</si>
  <si>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</si>
  <si>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</si>
  <si>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</si>
  <si>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</si>
  <si>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</si>
  <si>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</si>
  <si>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</si>
  <si>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</si>
  <si>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</si>
  <si>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</si>
  <si>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</si>
  <si>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</si>
  <si>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</si>
  <si>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</si>
  <si>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</si>
  <si>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</si>
  <si>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</si>
  <si>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</si>
  <si>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</si>
  <si>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</si>
  <si>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</si>
  <si>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</si>
  <si>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</si>
  <si>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</si>
  <si>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</si>
  <si>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</si>
  <si>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</si>
  <si>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</si>
  <si>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</si>
  <si>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</si>
  <si>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</si>
  <si>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</si>
  <si>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</si>
  <si>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</si>
  <si>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</si>
  <si>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</si>
  <si>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</si>
  <si>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</si>
  <si>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</si>
  <si>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</si>
  <si>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</si>
  <si>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</si>
  <si>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</si>
  <si>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</si>
  <si>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</si>
  <si>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</si>
  <si>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</si>
  <si>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</si>
  <si>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</si>
  <si>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</si>
  <si>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</si>
  <si>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</si>
  <si>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</si>
  <si>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</si>
  <si>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</si>
  <si>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</si>
  <si>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</si>
  <si>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</si>
  <si>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</si>
  <si>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</si>
  <si>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</si>
  <si>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</si>
  <si>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</si>
  <si>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</si>
  <si>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</si>
  <si>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</si>
  <si>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</si>
  <si>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</si>
  <si>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</si>
  <si>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</si>
  <si>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</si>
  <si>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</si>
  <si>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</si>
  <si>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</si>
  <si>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</si>
  <si>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</si>
  <si>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</si>
  <si>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</si>
  <si>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</si>
  <si>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</si>
  <si>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</si>
  <si>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</si>
  <si>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</si>
  <si>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</si>
  <si>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</si>
  <si>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</si>
  <si>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</si>
  <si>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</si>
  <si>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</si>
  <si>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</si>
  <si>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</si>
  <si>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</si>
  <si>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</si>
  <si>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</si>
  <si>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</si>
  <si>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</si>
  <si>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</si>
  <si>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</si>
  <si>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</si>
  <si>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</si>
  <si>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</si>
  <si>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</si>
  <si>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</si>
  <si>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</si>
  <si>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</si>
  <si>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</si>
  <si>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</si>
  <si>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</si>
  <si>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</si>
  <si>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</si>
  <si>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</si>
  <si>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</si>
  <si>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</si>
  <si>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</si>
  <si>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</si>
  <si>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</si>
  <si>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</si>
  <si>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</si>
  <si>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</si>
  <si>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</si>
  <si>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</si>
  <si>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</si>
  <si>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</si>
  <si>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</si>
  <si>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</si>
  <si>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</si>
  <si>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</si>
  <si>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</si>
  <si>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</si>
  <si>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</si>
  <si>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</si>
  <si>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</si>
  <si>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</si>
  <si>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</si>
  <si>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</si>
  <si>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</si>
  <si>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</si>
  <si>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</si>
  <si>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</si>
  <si>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</si>
  <si>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</si>
  <si>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</si>
  <si>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</si>
  <si>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</si>
  <si>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</si>
  <si>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</si>
  <si>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</si>
  <si>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</si>
  <si>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</si>
  <si>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</si>
  <si>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</si>
  <si>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</si>
  <si>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</si>
  <si>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</si>
  <si>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</si>
  <si>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</si>
  <si>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</si>
  <si>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</si>
  <si>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</si>
  <si>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</si>
  <si>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</si>
  <si>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</si>
  <si>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</si>
  <si>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</si>
  <si>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</si>
  <si>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</si>
  <si>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</si>
  <si>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</si>
  <si>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</si>
  <si>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</si>
  <si>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</si>
  <si>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</si>
  <si>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</si>
  <si>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</si>
  <si>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</si>
  <si>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</si>
  <si>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</si>
  <si>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</si>
  <si>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</si>
  <si>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</si>
  <si>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</si>
  <si>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</si>
  <si>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</si>
  <si>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</si>
  <si>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</si>
  <si>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</si>
  <si>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</si>
  <si>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</si>
  <si>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</si>
  <si>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</si>
  <si>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</si>
  <si>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</si>
  <si>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</si>
  <si>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</si>
  <si>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</si>
  <si>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</si>
  <si>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</si>
  <si>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</si>
  <si>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</si>
  <si>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</si>
  <si>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</si>
  <si>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</si>
  <si>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</si>
  <si>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</si>
  <si>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</si>
  <si>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</si>
  <si>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</si>
  <si>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</si>
  <si>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</si>
  <si>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</si>
  <si>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</si>
  <si>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</si>
  <si>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</si>
  <si>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</si>
  <si>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</si>
  <si>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</si>
  <si>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</si>
  <si>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</si>
  <si>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</si>
  <si>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</si>
  <si>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</si>
  <si>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</si>
  <si>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</si>
  <si>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</si>
  <si>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</si>
  <si>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</si>
  <si>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</si>
  <si>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</si>
  <si>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</si>
  <si>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</si>
  <si>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</si>
  <si>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</si>
  <si>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</si>
  <si>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</si>
  <si>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</si>
  <si>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</si>
  <si>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</si>
  <si>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</si>
  <si>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</si>
  <si>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</si>
  <si>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</si>
  <si>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</si>
  <si>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</si>
  <si>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</si>
  <si>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</si>
  <si>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</si>
  <si>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</si>
  <si>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</si>
  <si>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</si>
  <si>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</si>
  <si>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</si>
  <si>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</si>
  <si>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</si>
  <si>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</si>
  <si>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</si>
  <si>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</si>
  <si>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</si>
  <si>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</si>
  <si>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</si>
  <si>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</si>
  <si>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</si>
  <si>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</si>
  <si>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</si>
  <si>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</si>
  <si>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</si>
  <si>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</si>
  <si>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</si>
  <si>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</si>
  <si>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</si>
  <si>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</si>
  <si>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</si>
  <si>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</si>
  <si>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</si>
  <si>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</si>
  <si>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</si>
  <si>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</si>
  <si>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</si>
  <si>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</si>
  <si>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</si>
  <si>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</si>
  <si>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</si>
  <si>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</si>
  <si>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</si>
  <si>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</si>
  <si>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</si>
  <si>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</si>
  <si>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</si>
  <si>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</si>
  <si>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</si>
  <si>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</si>
  <si>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</si>
  <si>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</si>
  <si>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</si>
  <si>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</si>
  <si>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</si>
  <si>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</si>
  <si>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</si>
  <si>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</si>
  <si>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</si>
  <si>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</si>
  <si>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</si>
  <si>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</si>
  <si>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</si>
  <si>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</si>
  <si>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</si>
  <si>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</si>
  <si>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</si>
  <si>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</si>
  <si>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</si>
  <si>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</si>
  <si>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</si>
  <si>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</si>
  <si>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</si>
  <si>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</si>
  <si>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</si>
  <si>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</si>
  <si>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</si>
  <si>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</si>
  <si>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</si>
  <si>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</si>
  <si>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</si>
  <si>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</si>
  <si>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</si>
  <si>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</si>
  <si>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</si>
  <si>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</si>
  <si>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</si>
  <si>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</si>
  <si>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</si>
  <si>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</si>
  <si>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</si>
  <si>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</si>
  <si>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</si>
  <si>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</si>
  <si>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</si>
  <si>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</si>
  <si>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</si>
  <si>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</si>
  <si>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</si>
  <si>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</si>
  <si>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</si>
  <si>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</si>
  <si>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</si>
  <si>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</si>
  <si>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</si>
  <si>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</si>
  <si>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</si>
  <si>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</si>
  <si>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</si>
  <si>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</si>
  <si>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</si>
  <si>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</si>
  <si>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</si>
  <si>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</si>
  <si>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</si>
  <si>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</si>
  <si>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</si>
  <si>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</si>
  <si>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</si>
  <si>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</si>
  <si>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</si>
  <si>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</si>
  <si>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</si>
  <si>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</si>
  <si>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</si>
  <si>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</si>
  <si>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</si>
  <si>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</si>
  <si>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</si>
  <si>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</si>
  <si>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</si>
  <si>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</si>
  <si>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</si>
  <si>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</si>
  <si>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</si>
  <si>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</si>
  <si>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</si>
  <si>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</si>
  <si>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</si>
  <si>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</si>
  <si>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</si>
  <si>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</si>
  <si>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</si>
  <si>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</si>
  <si>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</si>
  <si>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</si>
  <si>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</si>
  <si>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</si>
  <si>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</si>
  <si>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</si>
  <si>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</si>
  <si>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</si>
  <si>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</si>
  <si>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</si>
  <si>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</si>
  <si>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</si>
  <si>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</si>
  <si>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</si>
  <si>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</si>
  <si>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</si>
  <si>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</si>
  <si>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</si>
  <si>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</si>
  <si>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</si>
  <si>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</si>
  <si>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</si>
  <si>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</si>
  <si>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</si>
  <si>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</si>
  <si>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</si>
  <si>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</si>
  <si>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</si>
  <si>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</si>
  <si>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</si>
  <si>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</si>
  <si>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</si>
  <si>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</si>
  <si>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</si>
  <si>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</si>
  <si>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</si>
  <si>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</si>
  <si>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</si>
  <si>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</si>
  <si>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</si>
  <si>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</si>
  <si>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</si>
  <si>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</si>
  <si>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</si>
  <si>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</si>
  <si>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</si>
  <si>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</si>
  <si>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</si>
  <si>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</si>
  <si>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</si>
  <si>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</si>
  <si>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</si>
  <si>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</si>
  <si>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</si>
  <si>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</si>
  <si>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</si>
  <si>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</si>
  <si>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</si>
  <si>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</si>
  <si>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</si>
  <si>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</si>
  <si>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</si>
  <si>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</si>
  <si>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</si>
  <si>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</si>
  <si>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</si>
  <si>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</si>
  <si>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</si>
  <si>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</si>
  <si>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</si>
  <si>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</si>
  <si>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</si>
  <si>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</si>
  <si>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</si>
  <si>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</si>
  <si>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</si>
  <si>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</si>
  <si>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</si>
  <si>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</si>
  <si>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</si>
  <si>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</si>
  <si>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</si>
  <si>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</si>
  <si>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</si>
  <si>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</si>
  <si>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</si>
  <si>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</si>
  <si>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</si>
  <si>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</si>
  <si>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</si>
  <si>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</si>
  <si>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</si>
  <si>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</si>
  <si>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</si>
  <si>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</si>
  <si>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</si>
  <si>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</si>
  <si>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</si>
  <si>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</si>
  <si>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</si>
  <si>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</si>
  <si>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</si>
  <si>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</si>
  <si>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</si>
  <si>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</si>
  <si>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</si>
  <si>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</si>
  <si>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</si>
  <si>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</si>
  <si>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</si>
  <si>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</si>
  <si>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</si>
  <si>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</si>
  <si>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</si>
  <si>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</si>
  <si>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</si>
  <si>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</si>
  <si>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</si>
  <si>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</si>
  <si>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</si>
  <si>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</si>
  <si>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</si>
  <si>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</si>
  <si>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</si>
  <si>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</si>
  <si>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</si>
  <si>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</si>
  <si>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</si>
  <si>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</si>
  <si>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</si>
  <si>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</si>
  <si>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</si>
  <si>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</si>
  <si>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</si>
  <si>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</si>
  <si>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</si>
  <si>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</si>
  <si>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</si>
  <si>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</si>
  <si>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</si>
  <si>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</si>
  <si>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</si>
  <si>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</si>
  <si>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</si>
  <si>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</si>
  <si>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</si>
  <si>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</si>
  <si>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</si>
  <si>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</si>
  <si>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</si>
  <si>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</si>
  <si>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</si>
  <si>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</si>
  <si>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</si>
  <si>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</si>
  <si>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</si>
  <si>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</si>
  <si>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</si>
  <si>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</si>
  <si>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</si>
  <si>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</si>
  <si>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</si>
  <si>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</si>
  <si>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</si>
  <si>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</si>
  <si>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</si>
  <si>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</si>
  <si>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</si>
  <si>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</si>
  <si>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</si>
  <si>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</si>
  <si>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</si>
  <si>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</si>
  <si>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</si>
  <si>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</si>
  <si>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</si>
  <si>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</si>
  <si>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</si>
  <si>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</si>
  <si>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</si>
  <si>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</si>
  <si>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</si>
  <si>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</si>
  <si>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</si>
  <si>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</si>
  <si>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</si>
  <si>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</si>
  <si>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</si>
  <si>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</si>
  <si>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</si>
  <si>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</si>
  <si>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</si>
  <si>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</si>
  <si>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</si>
  <si>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</si>
  <si>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</si>
  <si>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</si>
  <si>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</si>
  <si>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</si>
  <si>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</si>
  <si>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</si>
  <si>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</si>
  <si>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</si>
  <si>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</si>
  <si>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</si>
  <si>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</si>
  <si>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</si>
  <si>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</si>
  <si>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</si>
  <si>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</si>
  <si>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</si>
  <si>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</si>
  <si>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</si>
  <si>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</si>
  <si>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</si>
  <si>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</si>
  <si>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</si>
  <si>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</si>
  <si>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</si>
  <si>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</si>
  <si>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</si>
  <si>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</si>
  <si>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</si>
  <si>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</si>
  <si>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</si>
  <si>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</si>
  <si>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</si>
  <si>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</si>
  <si>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</si>
  <si>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</si>
  <si>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</si>
  <si>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</si>
  <si>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</si>
  <si>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</si>
  <si>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</si>
  <si>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</si>
  <si>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</si>
  <si>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</si>
  <si>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</si>
  <si>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</si>
  <si>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</si>
  <si>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</si>
  <si>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</si>
  <si>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</si>
  <si>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</si>
  <si>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</si>
  <si>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</si>
  <si>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</si>
  <si>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</si>
  <si>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</si>
  <si>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</si>
  <si>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</si>
  <si>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</si>
  <si>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</si>
  <si>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</si>
  <si>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</si>
  <si>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</si>
  <si>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</si>
  <si>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</si>
  <si>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</si>
  <si>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</si>
  <si>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</si>
  <si>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</si>
  <si>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</si>
  <si>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</si>
  <si>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</si>
  <si>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</si>
  <si>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</si>
  <si>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</si>
  <si>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</si>
  <si>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</si>
  <si>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</si>
  <si>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</si>
  <si>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</si>
  <si>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</si>
  <si>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</si>
  <si>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</si>
  <si>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</si>
  <si>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</si>
  <si>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</si>
  <si>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</si>
  <si>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</si>
  <si>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</si>
  <si>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</si>
  <si>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</si>
  <si>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</si>
  <si>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</si>
  <si>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</si>
  <si>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</si>
  <si>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</si>
  <si>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</si>
  <si>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</si>
  <si>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</si>
  <si>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</si>
  <si>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</si>
  <si>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</si>
  <si>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</si>
  <si>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</si>
  <si>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</si>
  <si>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</si>
  <si>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</si>
  <si>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</si>
  <si>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</si>
  <si>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</si>
  <si>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</si>
  <si>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</si>
  <si>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</si>
  <si>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</si>
  <si>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</si>
  <si>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</si>
  <si>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</si>
  <si>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</si>
  <si>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</si>
  <si>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</si>
  <si>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</si>
  <si>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</si>
  <si>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</si>
  <si>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</si>
  <si>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</si>
  <si>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</si>
  <si>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</si>
  <si>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</si>
  <si>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</si>
  <si>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</si>
  <si>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</si>
  <si>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</si>
  <si>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</si>
  <si>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</si>
  <si>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</si>
  <si>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</si>
  <si>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</si>
  <si>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</si>
  <si>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</si>
  <si>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</si>
  <si>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</si>
  <si>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</si>
  <si>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</si>
  <si>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</si>
  <si>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</si>
  <si>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</si>
  <si>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</si>
  <si>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</si>
  <si>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</si>
  <si>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</si>
  <si>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</si>
  <si>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</si>
  <si>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</si>
  <si>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</si>
  <si>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</si>
  <si>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</si>
  <si>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</si>
  <si>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</si>
  <si>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</si>
  <si>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</si>
  <si>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</si>
  <si>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</si>
  <si>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</si>
  <si>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</si>
  <si>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</si>
  <si>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</si>
  <si>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</si>
  <si>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</si>
  <si>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</si>
  <si>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</si>
  <si>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</si>
  <si>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</si>
  <si>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</si>
  <si>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</si>
  <si>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</si>
  <si>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</si>
  <si>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</si>
  <si>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</si>
  <si>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</si>
  <si>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</si>
  <si>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</si>
  <si>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</si>
  <si>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</si>
  <si>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</si>
  <si>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</si>
  <si>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</si>
  <si>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</si>
  <si>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</si>
  <si>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</si>
  <si>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</si>
  <si>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</si>
  <si>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</si>
  <si>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</si>
  <si>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</si>
  <si>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</si>
  <si>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</si>
  <si>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</si>
  <si>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</si>
  <si>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</si>
  <si>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</si>
  <si>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</si>
  <si>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</si>
  <si>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</si>
  <si>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</si>
  <si>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</si>
  <si>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</si>
  <si>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</si>
  <si>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</si>
  <si>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</si>
  <si>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</si>
  <si>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</si>
  <si>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</si>
  <si>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</si>
  <si>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</si>
  <si>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</si>
  <si>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</si>
  <si>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</si>
  <si>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</si>
  <si>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</si>
  <si>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</si>
  <si>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</si>
  <si>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</si>
  <si>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</si>
  <si>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</si>
  <si>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</si>
  <si>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</si>
  <si>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</si>
  <si>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</si>
  <si>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</si>
  <si>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</si>
  <si>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</si>
  <si>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</si>
  <si>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</si>
  <si>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</si>
  <si>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</si>
  <si>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</si>
  <si>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</si>
  <si>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</si>
  <si>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</si>
  <si>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</si>
  <si>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</si>
  <si>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</si>
  <si>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</si>
  <si>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</si>
  <si>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</si>
  <si>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</si>
  <si>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</si>
  <si>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</si>
  <si>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</si>
  <si>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</si>
  <si>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</si>
  <si>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</si>
  <si>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</si>
  <si>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</si>
  <si>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</si>
  <si>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</si>
  <si>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</si>
  <si>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</si>
  <si>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</si>
  <si>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</si>
  <si>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</si>
  <si>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</si>
  <si>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</si>
  <si>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</si>
  <si>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</si>
  <si>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</si>
  <si>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</si>
  <si>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</si>
  <si>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</si>
  <si>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</si>
  <si>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</si>
  <si>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</si>
  <si>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</si>
  <si>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</si>
  <si>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</si>
  <si>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</si>
  <si>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</si>
  <si>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</si>
  <si>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</si>
  <si>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</si>
  <si>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</si>
  <si>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</si>
  <si>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</si>
  <si>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</si>
  <si>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</si>
  <si>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</si>
  <si>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</si>
  <si>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</si>
  <si>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</si>
  <si>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</si>
  <si>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</si>
  <si>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</si>
  <si>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</si>
  <si>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</si>
  <si>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</si>
  <si>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</si>
  <si>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</si>
  <si>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</si>
  <si>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</si>
  <si>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</si>
  <si>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</si>
  <si>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</si>
  <si>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</si>
  <si>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</si>
  <si>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</si>
  <si>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</si>
  <si>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</si>
  <si>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</si>
  <si>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</si>
  <si>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</si>
  <si>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</si>
  <si>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</si>
  <si>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</si>
  <si>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</si>
  <si>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</si>
  <si>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</si>
  <si>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</si>
  <si>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</si>
  <si>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</si>
  <si>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</si>
  <si>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</si>
  <si>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</si>
  <si>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</si>
  <si>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</si>
  <si>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</si>
  <si>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</si>
  <si>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</si>
  <si>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</si>
  <si>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</si>
  <si>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</si>
  <si>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</si>
  <si>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</si>
  <si>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</si>
  <si>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</si>
  <si>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</si>
  <si>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</si>
  <si>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</si>
  <si>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</si>
  <si>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</si>
  <si>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</si>
  <si>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</si>
  <si>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</si>
  <si>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</si>
  <si>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</si>
  <si>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</si>
  <si>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</si>
  <si>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</si>
  <si>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</si>
  <si>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</si>
  <si>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</si>
  <si>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</si>
  <si>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</si>
  <si>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</si>
  <si>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</si>
  <si>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</si>
  <si>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</si>
  <si>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</si>
  <si>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</si>
  <si>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</si>
  <si>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</si>
  <si>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</si>
  <si>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</si>
  <si>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</si>
  <si>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</si>
  <si>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</si>
  <si>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</si>
  <si>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</si>
  <si>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</si>
  <si>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</si>
  <si>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</si>
  <si>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</si>
  <si>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</si>
  <si>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</si>
  <si>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</si>
  <si>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</si>
  <si>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</si>
  <si>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</si>
  <si>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</si>
  <si>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</si>
  <si>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</si>
  <si>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</si>
  <si>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</si>
  <si>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</si>
  <si>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</si>
  <si>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</si>
  <si>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</si>
  <si>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</si>
  <si>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</si>
  <si>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</si>
  <si>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</si>
  <si>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</si>
  <si>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</si>
  <si>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</si>
  <si>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</si>
  <si>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</si>
  <si>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</si>
  <si>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</si>
  <si>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</si>
  <si>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</si>
  <si>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</si>
  <si>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</si>
  <si>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</si>
  <si>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</si>
  <si>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</si>
  <si>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</si>
  <si>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</si>
  <si>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</si>
  <si>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</si>
  <si>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</si>
  <si>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</si>
  <si>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</si>
  <si>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</si>
  <si>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</si>
  <si>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</si>
  <si>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</si>
  <si>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</si>
  <si>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</si>
  <si>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</si>
  <si>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</si>
  <si>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</si>
  <si>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</si>
  <si>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</si>
  <si>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</si>
  <si>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</si>
  <si>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</si>
  <si>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</si>
  <si>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</si>
  <si>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</si>
  <si>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</si>
  <si>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</si>
  <si>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</si>
  <si>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</si>
  <si>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</si>
  <si>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</si>
  <si>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</si>
  <si>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</si>
  <si>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</si>
  <si>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</si>
  <si>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</si>
  <si>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</si>
  <si>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</si>
  <si>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</si>
  <si>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</si>
  <si>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</si>
  <si>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</si>
  <si>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</si>
  <si>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</si>
  <si>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</si>
  <si>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</si>
  <si>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</si>
  <si>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</si>
  <si>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</si>
  <si>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</si>
  <si>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</si>
  <si>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</si>
  <si>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</si>
  <si>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</si>
  <si>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</si>
  <si>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</si>
  <si>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</si>
  <si>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</si>
  <si>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</si>
  <si>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</si>
  <si>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</si>
  <si>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</si>
  <si>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</si>
  <si>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</si>
  <si>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</si>
  <si>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</si>
  <si>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</si>
  <si>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</si>
  <si>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</si>
  <si>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</si>
  <si>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</si>
  <si>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</si>
  <si>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</si>
  <si>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</si>
  <si>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</si>
  <si>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</si>
  <si>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</si>
  <si>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</si>
  <si>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</si>
  <si>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</si>
  <si>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</si>
  <si>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</si>
  <si>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</si>
  <si>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</si>
  <si>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</si>
  <si>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</si>
  <si>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</si>
  <si>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</si>
  <si>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</si>
  <si>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</si>
  <si>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</si>
  <si>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</si>
  <si>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</si>
  <si>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</si>
  <si>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</si>
  <si>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</si>
  <si>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</si>
  <si>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</si>
  <si>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</si>
  <si>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</si>
  <si>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</si>
  <si>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</si>
  <si>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</si>
  <si>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</si>
  <si>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</si>
  <si>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</si>
  <si>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</si>
  <si>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</si>
  <si>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</si>
  <si>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</si>
  <si>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</si>
  <si>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</si>
  <si>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</si>
  <si>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</si>
  <si>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</si>
  <si>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</si>
  <si>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</si>
  <si>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</si>
  <si>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</si>
  <si>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</si>
  <si>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</si>
  <si>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</si>
  <si>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</si>
  <si>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</si>
  <si>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</si>
  <si>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</si>
  <si>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</si>
  <si>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</si>
  <si>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</si>
  <si>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</si>
  <si>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</si>
  <si>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</si>
  <si>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</si>
  <si>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</si>
  <si>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</si>
  <si>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</si>
  <si>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</si>
  <si>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</si>
  <si>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</si>
  <si>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</si>
  <si>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</si>
  <si>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</si>
  <si>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</si>
  <si>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</si>
  <si>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</si>
  <si>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</si>
  <si>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</si>
  <si>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</si>
  <si>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</si>
  <si>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</si>
  <si>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</si>
  <si>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</si>
  <si>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</si>
  <si>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</si>
  <si>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</si>
  <si>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</si>
  <si>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</si>
  <si>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</si>
  <si>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</si>
  <si>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</si>
  <si>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</si>
  <si>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</si>
  <si>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</si>
  <si>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</si>
  <si>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</si>
  <si>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</si>
  <si>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</si>
  <si>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</si>
  <si>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</si>
  <si>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</si>
  <si>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</si>
  <si>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</si>
  <si>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</si>
  <si>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</si>
  <si>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</si>
  <si>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</si>
  <si>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</si>
  <si>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</si>
  <si>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</si>
  <si>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</si>
  <si>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</si>
  <si>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</si>
  <si>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</si>
  <si>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</si>
  <si>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</si>
  <si>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</si>
  <si>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</si>
  <si>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</si>
  <si>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</si>
  <si>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</si>
  <si>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</si>
  <si>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</si>
  <si>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</si>
  <si>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</si>
  <si>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</si>
  <si>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</si>
  <si>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</si>
  <si>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</si>
  <si>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</si>
  <si>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</si>
  <si>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</si>
  <si>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</si>
  <si>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</si>
  <si>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</si>
  <si>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</si>
  <si>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</si>
  <si>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</si>
  <si>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</si>
  <si>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</si>
  <si>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</si>
  <si>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</si>
  <si>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</si>
  <si>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</si>
  <si>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</si>
  <si>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</si>
  <si>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</si>
  <si>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</si>
  <si>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</si>
  <si>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</si>
  <si>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</si>
  <si>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</si>
  <si>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</si>
  <si>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</si>
  <si>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</si>
  <si>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</si>
  <si>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</si>
  <si>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</si>
  <si>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</si>
  <si>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</si>
  <si>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</si>
  <si>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</si>
  <si>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</si>
  <si>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</si>
  <si>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</si>
  <si>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</si>
  <si>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</si>
  <si>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</si>
  <si>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</si>
  <si>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</si>
  <si>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</si>
  <si>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</si>
  <si>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</si>
  <si>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</si>
  <si>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</si>
  <si>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</si>
  <si>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</si>
  <si>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</si>
  <si>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</si>
  <si>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</si>
  <si>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</si>
  <si>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</si>
  <si>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</si>
  <si>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</si>
  <si>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</si>
  <si>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</si>
  <si>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</si>
  <si>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</si>
  <si>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</si>
  <si>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</si>
  <si>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</si>
  <si>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</si>
  <si>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</si>
  <si>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</si>
  <si>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</si>
  <si>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</si>
  <si>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</si>
  <si>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</si>
  <si>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</si>
  <si>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</si>
  <si>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</si>
  <si>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</si>
  <si>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</si>
  <si>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</si>
  <si>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</si>
  <si>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</si>
  <si>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</si>
  <si>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</si>
  <si>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</si>
  <si>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</si>
  <si>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</si>
  <si>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</si>
  <si>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</si>
  <si>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</si>
  <si>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</si>
  <si>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</si>
  <si>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</si>
  <si>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</si>
  <si>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</si>
  <si>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</si>
  <si>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</si>
  <si>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</si>
  <si>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</si>
  <si>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</si>
  <si>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</si>
  <si>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</si>
  <si>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</si>
  <si>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</si>
  <si>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</si>
  <si>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</si>
  <si>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</si>
  <si>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</si>
  <si>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</si>
  <si>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</si>
  <si>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</si>
  <si>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</si>
  <si>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</si>
  <si>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</si>
  <si>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</si>
  <si>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</si>
  <si>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</si>
  <si>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</si>
  <si>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</si>
  <si>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</si>
  <si>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</si>
  <si>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</si>
  <si>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</si>
  <si>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</si>
  <si>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</si>
  <si>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</si>
  <si>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</si>
  <si>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</si>
  <si>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</si>
  <si>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</si>
  <si>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</si>
  <si>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</si>
  <si>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</si>
  <si>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</si>
  <si>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</si>
  <si>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</si>
  <si>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</si>
  <si>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</si>
  <si>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</si>
  <si>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</si>
  <si>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</si>
  <si>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</si>
  <si>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</si>
  <si>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</si>
  <si>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</si>
  <si>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</si>
  <si>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</si>
  <si>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</si>
  <si>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</si>
  <si>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</si>
  <si>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</si>
  <si>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</si>
  <si>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</si>
  <si>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</si>
  <si>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</si>
  <si>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</si>
  <si>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</si>
  <si>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</si>
  <si>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</si>
  <si>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</si>
  <si>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</si>
  <si>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</si>
  <si>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</si>
  <si>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</si>
  <si>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</si>
  <si>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</si>
  <si>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</si>
  <si>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</si>
  <si>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</si>
  <si>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</si>
  <si>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</si>
  <si>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</si>
  <si>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</si>
  <si>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</si>
  <si>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</si>
  <si>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</si>
  <si>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</si>
  <si>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</si>
  <si>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</si>
  <si>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</si>
  <si>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</si>
  <si>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</si>
  <si>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</si>
  <si>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</si>
  <si>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</si>
  <si>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</si>
  <si>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</si>
  <si>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</si>
  <si>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</si>
  <si>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</si>
  <si>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</si>
  <si>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</si>
  <si>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</si>
  <si>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</si>
  <si>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</si>
  <si>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</si>
  <si>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</si>
  <si>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</si>
  <si>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</si>
  <si>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</si>
  <si>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</si>
  <si>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</si>
  <si>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</si>
  <si>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</si>
  <si>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</si>
  <si>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</si>
  <si>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</si>
  <si>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</si>
  <si>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</si>
  <si>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</si>
  <si>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</si>
  <si>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</si>
  <si>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</si>
  <si>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</si>
  <si>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</si>
  <si>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</si>
  <si>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</si>
  <si>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</si>
  <si>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</si>
  <si>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</si>
  <si>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</si>
  <si>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</si>
  <si>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</si>
  <si>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</si>
  <si>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</si>
  <si>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</si>
  <si>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</si>
  <si>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</si>
  <si>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</si>
  <si>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</si>
  <si>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</si>
  <si>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</si>
  <si>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</si>
  <si>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</si>
  <si>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</si>
  <si>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</si>
  <si>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</si>
  <si>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</si>
  <si>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</si>
  <si>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</si>
  <si>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</si>
  <si>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</si>
  <si>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</si>
  <si>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</si>
  <si>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</si>
  <si>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</si>
  <si>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</si>
  <si>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</si>
  <si>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</si>
  <si>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</si>
  <si>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</si>
  <si>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</si>
  <si>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</si>
  <si>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</si>
  <si>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</si>
  <si>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</si>
  <si>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</si>
  <si>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</si>
  <si>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</si>
  <si>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</si>
  <si>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</si>
  <si>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</si>
  <si>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</si>
  <si>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</si>
  <si>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</si>
  <si>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</si>
  <si>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</si>
  <si>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</si>
  <si>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</si>
  <si>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</si>
  <si>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</si>
  <si>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</si>
  <si>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</si>
  <si>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</si>
  <si>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</si>
  <si>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</si>
  <si>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</si>
  <si>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</si>
  <si>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</si>
  <si>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</si>
  <si>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</si>
  <si>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</si>
  <si>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</si>
  <si>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</si>
  <si>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</si>
  <si>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</si>
  <si>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</si>
  <si>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</si>
  <si>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</si>
  <si>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</si>
  <si>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</si>
  <si>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</si>
  <si>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</si>
  <si>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</si>
  <si>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</si>
  <si>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</si>
  <si>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</si>
  <si>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</si>
  <si>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</si>
  <si>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</si>
  <si>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</si>
  <si>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</si>
  <si>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</si>
  <si>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</si>
  <si>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</si>
  <si>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</si>
  <si>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</si>
  <si>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</si>
  <si>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</si>
  <si>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</si>
  <si>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</si>
  <si>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</si>
  <si>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</si>
  <si>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</si>
  <si>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</si>
  <si>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</si>
  <si>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</si>
  <si>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</si>
  <si>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</si>
  <si>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</si>
  <si>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</si>
  <si>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</si>
  <si>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</si>
  <si>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</si>
  <si>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</si>
  <si>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</si>
  <si>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</si>
  <si>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</si>
  <si>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</si>
  <si>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</si>
  <si>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</si>
  <si>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</si>
  <si>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</si>
  <si>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</si>
  <si>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</si>
  <si>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</si>
  <si>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</si>
  <si>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</si>
  <si>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</si>
  <si>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</si>
  <si>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</si>
  <si>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</si>
  <si>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</si>
  <si>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</si>
  <si>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</si>
  <si>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</si>
  <si>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</si>
  <si>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</si>
  <si>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</si>
  <si>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</si>
  <si>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</si>
  <si>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</si>
  <si>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</si>
  <si>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</si>
  <si>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</si>
  <si>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</si>
  <si>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</si>
  <si>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</si>
  <si>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</si>
  <si>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</si>
  <si>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</si>
  <si>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</si>
  <si>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</si>
  <si>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</si>
  <si>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</si>
  <si>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</si>
  <si>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</si>
  <si>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</si>
  <si>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</si>
  <si>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</si>
  <si>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</si>
  <si>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</si>
  <si>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</si>
  <si>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</si>
  <si>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</si>
  <si>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</si>
  <si>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</si>
  <si>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</si>
  <si>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</si>
  <si>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</si>
  <si>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</si>
  <si>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</si>
  <si>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</si>
  <si>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</si>
  <si>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</si>
  <si>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</si>
  <si>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</si>
  <si>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</si>
  <si>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</si>
  <si>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</si>
  <si>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</si>
  <si>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</si>
  <si>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</si>
  <si>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</si>
  <si>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</si>
  <si>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</si>
  <si>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</si>
  <si>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</si>
  <si>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</si>
  <si>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</si>
  <si>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</si>
  <si>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</si>
  <si>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</si>
  <si>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</si>
  <si>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</si>
  <si>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</si>
  <si>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</si>
  <si>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</si>
  <si>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</si>
  <si>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</si>
  <si>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</si>
  <si>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</si>
  <si>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</si>
  <si>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</si>
  <si>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</si>
  <si>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</si>
  <si>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</si>
  <si>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</si>
  <si>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</si>
  <si>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</si>
  <si>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</si>
  <si>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</si>
  <si>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</si>
  <si>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</si>
  <si>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</si>
  <si>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</si>
  <si>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</si>
  <si>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</si>
  <si>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</si>
  <si>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</si>
  <si>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</si>
  <si>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</si>
  <si>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</si>
  <si>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</si>
  <si>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</si>
  <si>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</si>
  <si>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</si>
  <si>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</si>
  <si>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</si>
  <si>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</si>
  <si>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</si>
  <si>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</si>
  <si>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</si>
  <si>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</si>
  <si>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</si>
  <si>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</si>
  <si>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</si>
  <si>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</si>
  <si>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</si>
  <si>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</si>
  <si>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</si>
  <si>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</si>
  <si>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</si>
  <si>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</si>
  <si>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</si>
  <si>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</si>
  <si>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</si>
  <si>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</si>
  <si>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</si>
  <si>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</si>
  <si>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</si>
  <si>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</si>
  <si>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</si>
  <si>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</si>
  <si>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</si>
  <si>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</si>
  <si>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</si>
  <si>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</si>
  <si>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</si>
  <si>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</si>
  <si>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</si>
  <si>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</si>
  <si>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</si>
  <si>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</si>
  <si>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</si>
  <si>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</si>
  <si>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</si>
  <si>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</si>
  <si>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</si>
  <si>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</si>
  <si>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</si>
  <si>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</si>
  <si>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</si>
  <si>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</si>
  <si>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</si>
  <si>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</si>
  <si>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</si>
  <si>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</si>
  <si>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</si>
  <si>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</si>
  <si>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</si>
  <si>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</si>
  <si>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</si>
  <si>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</si>
  <si>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</si>
  <si>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</si>
  <si>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</si>
  <si>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</si>
  <si>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</si>
  <si>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</si>
  <si>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</si>
  <si>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</si>
  <si>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</si>
  <si>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</si>
  <si>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</si>
  <si>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</si>
  <si>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</si>
  <si>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</si>
  <si>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</si>
  <si>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</si>
  <si>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</si>
  <si>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</si>
  <si>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</si>
  <si>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</si>
  <si>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</si>
  <si>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</si>
  <si>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</si>
  <si>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</si>
  <si>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</si>
  <si>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</si>
  <si>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</si>
  <si>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</si>
  <si>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</si>
  <si>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</si>
  <si>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</si>
  <si>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</si>
  <si>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</si>
  <si>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</si>
  <si>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</si>
  <si>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</si>
  <si>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</si>
  <si>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</si>
  <si>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</si>
  <si>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</si>
  <si>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</si>
  <si>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</si>
  <si>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</si>
  <si>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</si>
  <si>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</si>
  <si>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</si>
  <si>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</si>
  <si>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</si>
  <si>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</si>
  <si>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</si>
  <si>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</si>
  <si>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</si>
  <si>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</si>
  <si>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</si>
  <si>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</si>
  <si>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</si>
  <si>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</si>
  <si>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</si>
  <si>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</si>
  <si>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</si>
  <si>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</si>
  <si>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</si>
  <si>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</si>
  <si>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</si>
  <si>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</si>
  <si>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</si>
  <si>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</si>
  <si>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</si>
  <si>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</si>
  <si>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</si>
  <si>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</si>
  <si>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</si>
  <si>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</si>
  <si>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</si>
  <si>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</si>
  <si>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</si>
  <si>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</si>
  <si>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</si>
  <si>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</si>
  <si>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</si>
  <si>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</si>
  <si>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</si>
  <si>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</si>
  <si>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</si>
  <si>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</si>
  <si>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</si>
  <si>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</si>
  <si>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</si>
  <si>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</si>
  <si>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</si>
  <si>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</si>
  <si>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</si>
  <si>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</si>
  <si>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</si>
  <si>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</si>
  <si>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</si>
  <si>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</si>
  <si>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</si>
  <si>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</si>
  <si>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</si>
  <si>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</si>
  <si>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</si>
  <si>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</si>
  <si>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</si>
  <si>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</si>
  <si>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</si>
  <si>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</si>
  <si>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</si>
  <si>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</si>
  <si>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</si>
  <si>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</si>
  <si>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</si>
  <si>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</si>
  <si>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</si>
  <si>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</si>
  <si>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</si>
  <si>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</si>
  <si>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</si>
  <si>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</si>
  <si>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</si>
  <si>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</si>
  <si>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</si>
  <si>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</si>
  <si>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</si>
  <si>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</si>
  <si>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</si>
  <si>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</si>
  <si>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</si>
  <si>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</si>
  <si>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</si>
  <si>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</si>
  <si>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</si>
  <si>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</si>
  <si>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</si>
  <si>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</si>
  <si>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</si>
  <si>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</si>
  <si>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</si>
  <si>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</si>
  <si>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</si>
  <si>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</si>
  <si>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</si>
  <si>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</si>
  <si>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</si>
  <si>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</si>
  <si>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</si>
  <si>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</si>
  <si>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</si>
  <si>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</si>
  <si>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</si>
  <si>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</si>
  <si>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</si>
  <si>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</si>
  <si>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</si>
  <si>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</si>
  <si>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</si>
  <si>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</si>
  <si>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</si>
  <si>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</si>
  <si>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</si>
  <si>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</si>
  <si>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</si>
  <si>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</si>
  <si>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</si>
  <si>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</si>
  <si>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</si>
  <si>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</si>
  <si>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</si>
  <si>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</si>
  <si>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</si>
  <si>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</si>
  <si>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</si>
  <si>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</si>
  <si>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</si>
  <si>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</si>
  <si>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</si>
  <si>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</si>
  <si>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</si>
  <si>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</si>
  <si>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</si>
  <si>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</si>
  <si>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</si>
  <si>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</si>
  <si>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</si>
  <si>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</si>
  <si>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</si>
  <si>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</si>
  <si>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</si>
  <si>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</si>
  <si>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</si>
  <si>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</si>
  <si>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</si>
  <si>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</si>
  <si>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</si>
  <si>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</si>
  <si>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</si>
  <si>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</si>
  <si>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</si>
  <si>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</si>
  <si>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</si>
  <si>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</si>
  <si>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</si>
  <si>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</si>
  <si>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</si>
  <si>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</si>
  <si>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</si>
  <si>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</si>
  <si>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</si>
  <si>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</si>
  <si>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</si>
  <si>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</si>
  <si>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</si>
  <si>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</si>
  <si>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</si>
  <si>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</si>
  <si>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</si>
  <si>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</si>
  <si>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</si>
  <si>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</si>
  <si>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</si>
  <si>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</si>
  <si>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</si>
  <si>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</si>
  <si>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</si>
  <si>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</si>
  <si>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</si>
  <si>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</si>
  <si>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</si>
  <si>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</si>
  <si>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</si>
  <si>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</si>
  <si>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</si>
  <si>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</si>
  <si>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</si>
  <si>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</si>
  <si>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</si>
  <si>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</si>
  <si>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</si>
  <si>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</si>
  <si>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</si>
  <si>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</si>
  <si>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</si>
  <si>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</si>
  <si>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</si>
  <si>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</si>
  <si>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</si>
  <si>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</si>
  <si>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</si>
  <si>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</si>
  <si>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</si>
  <si>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</si>
  <si>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</si>
  <si>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</si>
  <si>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</si>
  <si>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</si>
  <si>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</si>
  <si>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</si>
  <si>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</si>
  <si>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</si>
  <si>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</si>
  <si>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</si>
  <si>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</si>
  <si>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</si>
  <si>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</si>
  <si>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</si>
  <si>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</si>
  <si>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</si>
  <si>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</si>
  <si>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</si>
  <si>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</si>
  <si>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</si>
  <si>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</si>
  <si>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</si>
  <si>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</si>
  <si>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</si>
  <si>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</si>
  <si>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</si>
  <si>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</si>
  <si>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</si>
  <si>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</si>
  <si>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</si>
  <si>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</si>
  <si>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</si>
  <si>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</si>
  <si>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</si>
  <si>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</si>
  <si>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</si>
  <si>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</si>
  <si>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</si>
  <si>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</si>
  <si>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</si>
  <si>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</si>
  <si>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</si>
  <si>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</si>
  <si>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</si>
  <si>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</si>
  <si>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</si>
  <si>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</si>
  <si>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</si>
  <si>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</si>
  <si>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</si>
  <si>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</si>
  <si>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</si>
  <si>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</si>
  <si>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</si>
  <si>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</si>
  <si>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</si>
  <si>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</si>
  <si>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</si>
  <si>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</si>
  <si>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</si>
  <si>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</si>
  <si>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</si>
  <si>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</si>
  <si>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</si>
  <si>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</si>
  <si>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</si>
  <si>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</si>
  <si>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</si>
  <si>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</si>
  <si>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</si>
  <si>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</si>
  <si>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</si>
  <si>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</si>
  <si>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</si>
  <si>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</si>
  <si>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</si>
  <si>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</si>
  <si>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</si>
  <si>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</si>
  <si>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</si>
  <si>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</si>
  <si>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</si>
  <si>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</si>
  <si>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</si>
  <si>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</si>
  <si>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</si>
  <si>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</si>
  <si>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</si>
  <si>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</si>
  <si>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</si>
  <si>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</si>
  <si>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</si>
  <si>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</si>
  <si>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</si>
  <si>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</si>
  <si>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</si>
  <si>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</si>
  <si>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</si>
  <si>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</si>
  <si>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</si>
  <si>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</si>
  <si>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</si>
  <si>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</si>
  <si>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</si>
  <si>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</si>
  <si>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</si>
  <si>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</si>
  <si>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</si>
  <si>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</si>
  <si>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</si>
  <si>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</si>
  <si>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</si>
  <si>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</si>
  <si>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</si>
  <si>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</si>
  <si>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</si>
  <si>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</si>
  <si>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</si>
  <si>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</si>
  <si>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</si>
  <si>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</si>
  <si>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</si>
  <si>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</si>
  <si>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</si>
  <si>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</si>
  <si>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</si>
  <si>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</si>
  <si>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</si>
  <si>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</si>
  <si>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</si>
  <si>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</si>
  <si>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</si>
  <si>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</si>
  <si>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</si>
  <si>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</si>
  <si>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</si>
  <si>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</si>
  <si>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</si>
  <si>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</si>
  <si>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</si>
  <si>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</si>
  <si>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</si>
  <si>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</si>
  <si>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</si>
  <si>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</si>
  <si>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</si>
  <si>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</si>
  <si>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</si>
  <si>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</si>
  <si>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</si>
  <si>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</si>
  <si>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</si>
  <si>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</si>
  <si>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</si>
  <si>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</si>
  <si>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</si>
  <si>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</si>
  <si>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</si>
  <si>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</si>
  <si>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</si>
  <si>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</si>
  <si>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</si>
  <si>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</si>
  <si>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</si>
  <si>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</si>
  <si>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</si>
  <si>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</si>
  <si>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</si>
  <si>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</si>
  <si>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</si>
  <si>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</si>
  <si>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</si>
  <si>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</si>
  <si>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</si>
  <si>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</si>
  <si>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</si>
  <si>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</si>
  <si>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</si>
  <si>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</si>
  <si>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</si>
  <si>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</si>
  <si>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</si>
  <si>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</si>
  <si>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</si>
  <si>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</si>
  <si>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</si>
  <si>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</si>
  <si>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</si>
  <si>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</si>
  <si>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</si>
  <si>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</si>
  <si>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</si>
  <si>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</si>
  <si>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</si>
  <si>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</si>
  <si>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</si>
  <si>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</si>
  <si>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</si>
  <si>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</si>
  <si>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</si>
  <si>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</si>
  <si>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</si>
  <si>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</si>
  <si>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</si>
  <si>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</si>
  <si>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</si>
  <si>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</si>
  <si>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</si>
  <si>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</si>
  <si>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</si>
  <si>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</si>
  <si>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</si>
  <si>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</si>
  <si>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</si>
  <si>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</si>
  <si>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</si>
  <si>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</si>
  <si>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</si>
  <si>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</si>
  <si>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</si>
  <si>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</si>
  <si>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</si>
  <si>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</si>
  <si>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</si>
  <si>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</si>
  <si>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</si>
  <si>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</si>
  <si>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</si>
  <si>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</si>
  <si>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</si>
  <si>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</si>
  <si>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</si>
  <si>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</si>
  <si>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</si>
  <si>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</si>
  <si>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</si>
  <si>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</si>
  <si>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</si>
  <si>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</si>
  <si>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</si>
  <si>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</si>
  <si>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</si>
  <si>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</si>
  <si>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</si>
  <si>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</si>
  <si>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</si>
  <si>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</si>
  <si>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</si>
  <si>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</si>
  <si>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</si>
  <si>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</si>
  <si>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</si>
  <si>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</si>
  <si>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</si>
  <si>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</si>
  <si>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</si>
  <si>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</si>
  <si>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</si>
  <si>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</si>
  <si>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</si>
  <si>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</si>
  <si>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</si>
  <si>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</si>
  <si>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</si>
  <si>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</si>
  <si>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</si>
  <si>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</si>
  <si>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</si>
  <si>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</si>
  <si>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</si>
  <si>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</si>
  <si>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</si>
  <si>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</si>
  <si>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</si>
  <si>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</si>
  <si>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</si>
  <si>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</si>
  <si>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</si>
  <si>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</si>
  <si>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</si>
  <si>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</si>
  <si>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</si>
  <si>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</si>
  <si>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</si>
  <si>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</si>
  <si>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</si>
  <si>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</si>
  <si>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</si>
  <si>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</si>
  <si>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</si>
  <si>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</si>
  <si>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</si>
  <si>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</si>
  <si>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</si>
  <si>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</si>
  <si>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</si>
  <si>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</si>
  <si>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</si>
  <si>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</si>
  <si>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</si>
  <si>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</si>
  <si>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</si>
  <si>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</si>
  <si>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</si>
  <si>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</si>
  <si>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</si>
  <si>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</si>
  <si>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</si>
  <si>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</si>
  <si>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</si>
  <si>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</si>
  <si>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</si>
  <si>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</si>
  <si>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</si>
  <si>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</si>
  <si>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</si>
  <si>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</si>
  <si>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</si>
  <si>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</si>
  <si>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</si>
  <si>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</si>
  <si>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</si>
  <si>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</si>
  <si>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</si>
  <si>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</si>
  <si>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</si>
  <si>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</si>
  <si>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</si>
  <si>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</si>
  <si>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</si>
  <si>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</si>
  <si>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</si>
  <si>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</si>
  <si>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</si>
  <si>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</si>
  <si>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</si>
  <si>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</si>
  <si>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</si>
  <si>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</si>
  <si>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</si>
  <si>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</si>
  <si>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</si>
  <si>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</si>
  <si>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</si>
  <si>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</si>
  <si>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</si>
  <si>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</si>
  <si>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</si>
  <si>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</si>
  <si>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</si>
  <si>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</si>
  <si>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</si>
  <si>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</si>
  <si>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</si>
  <si>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</si>
  <si>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</si>
  <si>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</si>
  <si>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</si>
  <si>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</si>
  <si>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</si>
  <si>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</si>
  <si>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</si>
  <si>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</si>
  <si>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</si>
  <si>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</si>
  <si>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</si>
  <si>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</si>
  <si>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</si>
  <si>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</si>
  <si>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</si>
  <si>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</si>
  <si>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</si>
  <si>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</si>
  <si>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</si>
  <si>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</si>
  <si>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</si>
  <si>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</si>
  <si>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</si>
  <si>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</si>
  <si>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</si>
  <si>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</si>
  <si>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</si>
  <si>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</si>
  <si>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</si>
  <si>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</si>
  <si>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</si>
  <si>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</si>
  <si>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</si>
  <si>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</si>
  <si>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</si>
  <si>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</si>
  <si>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</si>
  <si>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</si>
  <si>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</si>
  <si>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</si>
  <si>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</si>
  <si>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</si>
  <si>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</si>
  <si>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</si>
  <si>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</si>
  <si>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</si>
  <si>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</si>
  <si>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</si>
  <si>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</si>
  <si>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</si>
  <si>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</si>
  <si>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</si>
  <si>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</si>
  <si>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</si>
  <si>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</si>
  <si>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</si>
  <si>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</si>
  <si>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</si>
  <si>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</si>
  <si>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</si>
  <si>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</si>
  <si>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</si>
  <si>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</si>
  <si>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</si>
  <si>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</si>
  <si>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</si>
  <si>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</si>
  <si>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</si>
  <si>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</si>
  <si>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</si>
  <si>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</si>
  <si>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</si>
  <si>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</si>
  <si>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</si>
  <si>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</si>
  <si>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</si>
  <si>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</si>
  <si>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</si>
  <si>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</si>
  <si>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</si>
  <si>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</si>
  <si>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</si>
  <si>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</si>
  <si>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</si>
  <si>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</si>
  <si>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</si>
  <si>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</si>
  <si>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</si>
  <si>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</si>
  <si>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</si>
  <si>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</si>
  <si>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</si>
  <si>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</si>
  <si>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</si>
  <si>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</si>
  <si>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</si>
  <si>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</si>
  <si>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</si>
  <si>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</si>
  <si>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</si>
  <si>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</si>
  <si>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</si>
  <si>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</si>
  <si>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</si>
  <si>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</si>
  <si>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</si>
  <si>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</si>
  <si>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</si>
  <si>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</si>
  <si>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</si>
  <si>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</si>
  <si>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</si>
  <si>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</si>
  <si>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</si>
  <si>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</si>
  <si>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</si>
  <si>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</si>
  <si>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</si>
  <si>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</si>
  <si>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</si>
  <si>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</si>
  <si>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</si>
  <si>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</si>
  <si>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</si>
  <si>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</si>
  <si>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</si>
  <si>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</si>
  <si>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</si>
  <si>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</si>
  <si>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</si>
  <si>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</si>
  <si>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</si>
  <si>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</si>
  <si>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</si>
  <si>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</si>
  <si>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</si>
  <si>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</si>
  <si>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</si>
  <si>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</si>
  <si>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</si>
  <si>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</si>
  <si>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</si>
  <si>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</si>
  <si>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</si>
  <si>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</si>
  <si>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</si>
  <si>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</si>
  <si>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</si>
  <si>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</si>
  <si>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</si>
  <si>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</si>
  <si>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</si>
  <si>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</si>
  <si>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</si>
  <si>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</si>
  <si>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</si>
  <si>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</si>
  <si>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</si>
  <si>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</si>
  <si>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</si>
  <si>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</si>
  <si>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</si>
  <si>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</si>
  <si>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</si>
  <si>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</si>
  <si>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</si>
  <si>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</si>
  <si>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</si>
  <si>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</si>
  <si>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</si>
  <si>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</si>
  <si>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</si>
  <si>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</si>
  <si>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</si>
  <si>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</si>
  <si>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</si>
  <si>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</si>
  <si>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</si>
  <si>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</si>
  <si>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</si>
  <si>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</si>
  <si>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</si>
  <si>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</si>
  <si>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</si>
  <si>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</si>
  <si>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</si>
  <si>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</si>
  <si>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</si>
  <si>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</si>
  <si>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</si>
  <si>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</si>
  <si>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</si>
  <si>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</si>
  <si>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</si>
  <si>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</si>
  <si>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</si>
  <si>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</si>
  <si>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</si>
  <si>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</si>
  <si>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</si>
  <si>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</si>
  <si>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</si>
  <si>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</si>
  <si>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</si>
  <si>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</si>
  <si>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</si>
  <si>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</si>
  <si>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</si>
  <si>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</si>
  <si>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</si>
  <si>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</si>
  <si>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</si>
  <si>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</si>
  <si>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</si>
  <si>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</si>
  <si>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</si>
  <si>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</si>
  <si>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</si>
  <si>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</si>
  <si>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</si>
  <si>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</si>
  <si>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</si>
  <si>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</si>
  <si>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</si>
  <si>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</si>
  <si>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</si>
  <si>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</si>
  <si>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</si>
  <si>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</si>
  <si>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</si>
  <si>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</si>
  <si>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</si>
  <si>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</si>
  <si>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</si>
  <si>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</si>
  <si>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</si>
  <si>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</si>
  <si>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</si>
  <si>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</si>
  <si>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</si>
  <si>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</si>
  <si>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</si>
  <si>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</si>
  <si>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</si>
  <si>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</si>
  <si>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</si>
  <si>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</si>
  <si>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</si>
  <si>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</si>
  <si>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</si>
  <si>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</si>
  <si>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</si>
  <si>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</si>
  <si>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</si>
  <si>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</si>
  <si>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</si>
  <si>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</si>
  <si>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</si>
  <si>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</si>
  <si>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</si>
  <si>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</si>
  <si>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</si>
  <si>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</si>
  <si>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</si>
  <si>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</si>
  <si>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</si>
  <si>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</si>
  <si>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</si>
  <si>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</si>
  <si>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</si>
  <si>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</si>
  <si>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</si>
  <si>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</si>
  <si>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</si>
  <si>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</si>
  <si>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</si>
  <si>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</si>
  <si>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</si>
  <si>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</si>
  <si>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</si>
  <si>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</si>
  <si>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</si>
  <si>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</si>
  <si>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</si>
  <si>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</si>
  <si>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</si>
  <si>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</si>
  <si>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</si>
  <si>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</si>
  <si>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</si>
  <si>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</si>
  <si>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</si>
  <si>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</si>
  <si>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</si>
  <si>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</si>
  <si>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</si>
  <si>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</si>
  <si>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</si>
  <si>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</si>
  <si>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</si>
  <si>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</si>
  <si>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</si>
  <si>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</si>
  <si>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</si>
  <si>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</si>
  <si>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</si>
  <si>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</si>
  <si>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</si>
  <si>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</si>
  <si>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</si>
  <si>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</si>
  <si>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</si>
  <si>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</si>
  <si>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</si>
  <si>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</si>
  <si>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</si>
  <si>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</si>
  <si>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</si>
  <si>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</si>
  <si>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</si>
  <si>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</si>
  <si>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</si>
  <si>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</si>
  <si>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</si>
  <si>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</si>
  <si>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</si>
  <si>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</si>
  <si>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</si>
  <si>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</si>
  <si>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</si>
  <si>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</si>
  <si>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</si>
  <si>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</si>
  <si>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</si>
  <si>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</si>
  <si>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</si>
  <si>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</si>
  <si>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</si>
  <si>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</si>
  <si>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</si>
  <si>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</si>
  <si>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</si>
  <si>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</si>
  <si>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</si>
  <si>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</si>
  <si>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</si>
  <si>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</si>
  <si>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</si>
  <si>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</si>
  <si>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</si>
  <si>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</si>
  <si>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</si>
  <si>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</si>
  <si>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</si>
  <si>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</si>
  <si>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</si>
  <si>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</si>
  <si>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</si>
  <si>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</si>
  <si>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</si>
  <si>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</si>
  <si>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</si>
  <si>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</si>
  <si>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</si>
  <si>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</si>
  <si>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</si>
  <si>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</si>
  <si>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</si>
  <si>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</si>
  <si>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</si>
  <si>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</si>
  <si>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</si>
  <si>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</si>
  <si>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</si>
  <si>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</si>
  <si>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</si>
  <si>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</si>
  <si>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</si>
  <si>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</si>
  <si>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</si>
  <si>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</si>
  <si>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</si>
  <si>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</si>
  <si>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</si>
  <si>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</si>
  <si>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</si>
  <si>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</si>
  <si>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</si>
  <si>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</si>
  <si>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</si>
  <si>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</si>
  <si>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</si>
  <si>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</si>
  <si>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</si>
  <si>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</si>
  <si>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</si>
  <si>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</si>
  <si>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</si>
  <si>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</si>
  <si>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</si>
  <si>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</si>
  <si>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</si>
  <si>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</si>
  <si>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</si>
  <si>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</si>
  <si>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</si>
  <si>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</si>
  <si>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</si>
  <si>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</si>
  <si>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</si>
  <si>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</si>
  <si>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</si>
  <si>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</si>
  <si>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</si>
  <si>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</si>
  <si>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</si>
  <si>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</si>
  <si>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</si>
  <si>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</si>
  <si>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</si>
  <si>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</si>
  <si>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</si>
  <si>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</si>
  <si>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</si>
  <si>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</si>
  <si>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</si>
  <si>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</si>
  <si>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</si>
  <si>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</si>
  <si>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</si>
  <si>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</si>
  <si>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</si>
  <si>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</si>
  <si>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</si>
  <si>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</si>
  <si>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</si>
  <si>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</si>
  <si>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</si>
  <si>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</si>
  <si>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</si>
  <si>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</si>
  <si>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</si>
  <si>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</si>
  <si>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</si>
  <si>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</si>
  <si>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</si>
  <si>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</si>
  <si>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</si>
  <si>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</si>
  <si>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</si>
  <si>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</si>
  <si>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</si>
  <si>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</si>
  <si>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</si>
  <si>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</si>
  <si>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</si>
  <si>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</si>
  <si>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</si>
  <si>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</si>
  <si>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</si>
  <si>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</si>
  <si>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</si>
  <si>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</si>
  <si>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</si>
  <si>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</si>
  <si>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</si>
  <si>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</si>
  <si>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</si>
  <si>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</si>
  <si>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</si>
  <si>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</si>
  <si>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</si>
  <si>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</si>
  <si>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</si>
  <si>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</si>
  <si>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</si>
  <si>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</si>
  <si>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</si>
  <si>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</si>
  <si>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</si>
  <si>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</si>
  <si>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</si>
  <si>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</si>
  <si>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</si>
  <si>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</si>
  <si>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</si>
  <si>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</si>
  <si>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</si>
  <si>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</si>
  <si>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</si>
  <si>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</si>
  <si>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</si>
  <si>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</si>
  <si>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</si>
  <si>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</si>
  <si>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</si>
  <si>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</si>
  <si>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</si>
  <si>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</si>
  <si>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</si>
  <si>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</si>
  <si>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</si>
  <si>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</si>
  <si>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</si>
  <si>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</si>
  <si>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</si>
  <si>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</si>
  <si>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</si>
  <si>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</si>
  <si>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</si>
  <si>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</si>
  <si>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</si>
  <si>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</si>
  <si>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</si>
  <si>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</si>
  <si>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</si>
  <si>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</si>
  <si>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</si>
  <si>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</si>
  <si>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</si>
  <si>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</si>
  <si>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</si>
  <si>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</si>
  <si>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</si>
  <si>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</si>
  <si>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</si>
  <si>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</si>
  <si>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</si>
  <si>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</si>
  <si>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</si>
  <si>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</si>
  <si>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</si>
  <si>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</si>
  <si>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</si>
  <si>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</si>
  <si>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</si>
  <si>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</si>
  <si>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</si>
  <si>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</si>
  <si>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</si>
  <si>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</si>
  <si>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</si>
  <si>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</si>
  <si>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</si>
  <si>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</si>
  <si>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</si>
  <si>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</si>
  <si>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</si>
  <si>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</si>
  <si>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</si>
  <si>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</si>
  <si>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</si>
  <si>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</si>
  <si>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</si>
  <si>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</si>
  <si>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</si>
  <si>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</si>
  <si>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</si>
  <si>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</si>
  <si>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</si>
  <si>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</si>
  <si>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</si>
  <si>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</si>
  <si>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</si>
  <si>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</si>
  <si>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</si>
  <si>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</si>
  <si>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</si>
  <si>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</si>
  <si>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</si>
  <si>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</si>
  <si>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</si>
  <si>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</si>
  <si>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</si>
  <si>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</si>
  <si>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</si>
  <si>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</si>
  <si>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</si>
  <si>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</si>
  <si>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</si>
  <si>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</si>
  <si>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</si>
  <si>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</si>
  <si>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</si>
  <si>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</si>
  <si>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</si>
  <si>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</si>
  <si>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</si>
  <si>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</si>
  <si>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</si>
  <si>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</si>
  <si>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</si>
  <si>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</si>
  <si>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</si>
  <si>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</si>
  <si>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</si>
  <si>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</si>
  <si>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</si>
  <si>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</si>
  <si>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</si>
  <si>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</si>
  <si>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</si>
  <si>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</si>
  <si>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</si>
  <si>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</si>
  <si>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</si>
  <si>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</si>
  <si>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</si>
  <si>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</si>
  <si>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</si>
  <si>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</si>
  <si>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</si>
  <si>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</si>
  <si>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</si>
  <si>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</si>
  <si>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</si>
  <si>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</si>
  <si>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</si>
  <si>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</si>
  <si>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</si>
  <si>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</si>
  <si>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</si>
  <si>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</si>
  <si>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</si>
  <si>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</si>
  <si>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</si>
  <si>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</si>
  <si>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</si>
  <si>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</si>
  <si>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</si>
  <si>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</si>
  <si>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</si>
  <si>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</si>
  <si>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</si>
  <si>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</si>
  <si>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</si>
  <si>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</si>
  <si>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</si>
  <si>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</si>
  <si>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</si>
  <si>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</si>
  <si>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</si>
  <si>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</si>
  <si>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</si>
  <si>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</si>
  <si>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</si>
  <si>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</si>
  <si>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</si>
  <si>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</si>
  <si>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</si>
  <si>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</si>
  <si>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</si>
  <si>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</si>
  <si>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</si>
  <si>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</si>
  <si>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</si>
  <si>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</si>
  <si>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</si>
  <si>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</si>
  <si>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</si>
  <si>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</si>
  <si>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</si>
  <si>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</si>
  <si>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</si>
  <si>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</si>
  <si>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</si>
  <si>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</si>
  <si>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</si>
  <si>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</si>
  <si>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</si>
  <si>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</si>
  <si>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</si>
  <si>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</si>
  <si>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</si>
  <si>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</si>
  <si>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</si>
  <si>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</si>
  <si>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</si>
  <si>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</si>
  <si>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</si>
  <si>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</si>
  <si>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</si>
  <si>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</si>
  <si>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</si>
  <si>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</si>
  <si>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</si>
  <si>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</si>
  <si>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</si>
  <si>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</si>
  <si>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</si>
  <si>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</si>
  <si>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</si>
  <si>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</si>
  <si>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</si>
  <si>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</si>
  <si>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</si>
  <si>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</si>
  <si>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</si>
  <si>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</si>
  <si>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</si>
  <si>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</si>
  <si>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</si>
  <si>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</si>
  <si>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</si>
  <si>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</si>
  <si>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</si>
  <si>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</si>
  <si>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</si>
  <si>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</si>
  <si>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</si>
  <si>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</si>
  <si>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</si>
  <si>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</si>
  <si>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</si>
  <si>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</si>
  <si>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</si>
  <si>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</si>
  <si>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</si>
  <si>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</si>
  <si>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</si>
  <si>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</si>
  <si>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</si>
  <si>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</si>
  <si>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</si>
  <si>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</si>
  <si>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</si>
  <si>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</si>
  <si>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</si>
  <si>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</si>
  <si>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</si>
  <si>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</si>
  <si>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</si>
  <si>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</si>
  <si>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</si>
  <si>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</si>
  <si>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</si>
  <si>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</si>
  <si>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</si>
  <si>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</si>
  <si>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</si>
  <si>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</si>
  <si>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</si>
  <si>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</si>
  <si>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</si>
  <si>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</si>
  <si>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</si>
  <si>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</si>
  <si>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</si>
  <si>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</si>
  <si>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</si>
  <si>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</si>
  <si>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</si>
  <si>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</si>
  <si>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</si>
  <si>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</si>
  <si>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</si>
  <si>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</si>
  <si>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</si>
  <si>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</si>
  <si>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</si>
  <si>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</si>
  <si>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</si>
  <si>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</si>
  <si>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</si>
  <si>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</si>
  <si>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</si>
  <si>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</si>
  <si>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</si>
  <si>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</si>
  <si>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</si>
  <si>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</si>
  <si>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</si>
  <si>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</si>
  <si>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</si>
  <si>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</si>
  <si>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</si>
  <si>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</si>
  <si>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</si>
  <si>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</si>
  <si>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</si>
  <si>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</si>
  <si>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</si>
  <si>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</si>
  <si>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</si>
  <si>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</si>
  <si>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</si>
  <si>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</si>
  <si>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</si>
  <si>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</si>
  <si>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</si>
  <si>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</si>
  <si>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</si>
  <si>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</si>
  <si>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</si>
  <si>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</si>
  <si>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</si>
  <si>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</si>
  <si>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</si>
  <si>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</si>
  <si>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</si>
  <si>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</si>
  <si>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</si>
  <si>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</si>
  <si>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</si>
  <si>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</si>
  <si>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</si>
  <si>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</si>
  <si>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</si>
  <si>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</si>
  <si>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</si>
  <si>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</si>
  <si>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</si>
  <si>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</si>
  <si>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</si>
  <si>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</si>
  <si>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</si>
  <si>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</si>
  <si>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</si>
  <si>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</si>
  <si>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</si>
  <si>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</si>
  <si>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</si>
  <si>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</si>
  <si>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</si>
  <si>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</si>
  <si>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</si>
  <si>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</si>
  <si>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</si>
  <si>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</si>
  <si>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</si>
  <si>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</si>
  <si>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</si>
  <si>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</si>
  <si>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</si>
  <si>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</si>
  <si>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</si>
  <si>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</si>
  <si>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</si>
  <si>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</si>
  <si>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</si>
  <si>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</si>
  <si>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</si>
  <si>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</si>
  <si>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</si>
  <si>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</si>
  <si>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</si>
  <si>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</si>
  <si>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</si>
  <si>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</si>
  <si>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</si>
  <si>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</si>
  <si>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</si>
  <si>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</si>
  <si>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</si>
  <si>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</si>
  <si>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</si>
  <si>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</si>
  <si>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</si>
  <si>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</si>
  <si>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</si>
  <si>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</si>
  <si>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</si>
  <si>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</si>
  <si>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</si>
  <si>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</si>
  <si>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</si>
  <si>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</si>
  <si>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</si>
  <si>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</si>
  <si>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</si>
  <si>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</si>
  <si>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</si>
  <si>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</si>
  <si>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</si>
  <si>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</si>
  <si>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</si>
  <si>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</si>
  <si>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</si>
  <si>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</si>
  <si>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</si>
  <si>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</si>
  <si>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</si>
  <si>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</si>
  <si>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</si>
  <si>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</si>
  <si>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</si>
  <si>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</si>
  <si>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</si>
  <si>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</si>
  <si>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</si>
  <si>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</si>
  <si>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</si>
  <si>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</si>
  <si>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</si>
  <si>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</si>
  <si>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</si>
  <si>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</si>
  <si>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</si>
  <si>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</si>
  <si>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</si>
  <si>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</si>
  <si>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</si>
  <si>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</si>
  <si>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</si>
  <si>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</si>
  <si>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</si>
  <si>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</si>
  <si>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</si>
  <si>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</si>
  <si>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</si>
  <si>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</si>
  <si>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</si>
  <si>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</si>
  <si>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</si>
  <si>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</si>
  <si>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</si>
  <si>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</si>
  <si>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</si>
  <si>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</si>
  <si>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</si>
  <si>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</si>
  <si>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</si>
  <si>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</si>
  <si>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</si>
  <si>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</si>
  <si>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</si>
  <si>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</si>
  <si>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</si>
  <si>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</si>
  <si>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</si>
  <si>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</si>
  <si>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</si>
  <si>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</si>
  <si>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</si>
  <si>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</si>
  <si>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</si>
  <si>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</si>
  <si>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</si>
  <si>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</si>
  <si>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</si>
  <si>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</si>
  <si>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</si>
  <si>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</si>
  <si>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</si>
  <si>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</si>
  <si>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</si>
  <si>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</si>
  <si>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</si>
  <si>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</si>
  <si>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</si>
  <si>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</si>
  <si>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</si>
  <si>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</si>
  <si>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</si>
  <si>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</si>
  <si>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</si>
  <si>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</si>
  <si>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</si>
  <si>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</si>
  <si>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</si>
  <si>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</si>
  <si>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</si>
  <si>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</si>
  <si>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</si>
  <si>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</si>
  <si>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</si>
  <si>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</si>
  <si>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</si>
  <si>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</si>
  <si>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</si>
  <si>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</si>
  <si>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</si>
  <si>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</si>
  <si>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</si>
  <si>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</si>
  <si>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</si>
  <si>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</si>
  <si>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</si>
  <si>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</si>
  <si>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</si>
  <si>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</si>
  <si>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</si>
  <si>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</si>
  <si>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</si>
  <si>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</si>
  <si>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</si>
  <si>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</si>
  <si>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</si>
  <si>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</si>
  <si>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</si>
  <si>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</si>
  <si>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</si>
  <si>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</si>
  <si>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</si>
  <si>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</si>
  <si>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</si>
  <si>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</si>
  <si>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</si>
  <si>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</si>
  <si>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</si>
  <si>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</si>
  <si>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</si>
  <si>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</si>
  <si>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</si>
  <si>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</si>
  <si>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</si>
  <si>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</si>
  <si>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</si>
  <si>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</si>
  <si>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</si>
  <si>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</si>
  <si>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</si>
  <si>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</si>
  <si>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</si>
  <si>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GOLO</t>
  </si>
  <si>
    <t xml:space="preserve">Campile</t>
  </si>
  <si>
    <t xml:space="preserve">06150185</t>
  </si>
  <si>
    <t xml:space="preserve">7178d - RCS Corse 2015</t>
  </si>
  <si>
    <t xml:space="preserve">radier</t>
  </si>
  <si>
    <t xml:space="preserve">pl. lent</t>
  </si>
  <si>
    <t xml:space="preserve">moyen</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</si>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</sst>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52" activeCellId="0" sqref="A1:P5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42179</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11.6315789473684</v>
      </c>
      <c r="N5" s="352"/>
      <c r="O5" s="353" t="s">
        <v>215</v>
      </c>
      <c r="P5" s="354" t="n">
        <v>11.2352941176471</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55</v>
      </c>
      <c r="C7" s="370" t="n">
        <v>45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11.3</v>
      </c>
      <c r="P8" s="384" t="n">
        <f aca="false">IF(ISERROR(AVERAGE(K23:K82)),"  ",AVERAGE(K23:K82))</f>
        <v>1.7</v>
      </c>
      <c r="Q8" s="385"/>
      <c r="R8" s="309"/>
      <c r="S8" s="309"/>
      <c r="T8" s="309"/>
      <c r="U8" s="309"/>
      <c r="V8" s="309"/>
      <c r="W8" s="323"/>
    </row>
    <row r="9" customFormat="false" ht="12.75" hidden="false" customHeight="false" outlineLevel="0" collapsed="false">
      <c r="A9" s="342" t="s">
        <v>3394</v>
      </c>
      <c r="B9" s="386" t="n">
        <v>2.2</v>
      </c>
      <c r="C9" s="387" t="n">
        <v>0.6</v>
      </c>
      <c r="D9" s="388"/>
      <c r="E9" s="388"/>
      <c r="F9" s="389" t="n">
        <f aca="false">($B9*$B$7+$C9*$C$7)/100</f>
        <v>1.48</v>
      </c>
      <c r="G9" s="390"/>
      <c r="H9" s="345"/>
      <c r="I9" s="309"/>
      <c r="J9" s="391"/>
      <c r="K9" s="392"/>
      <c r="L9" s="375"/>
      <c r="M9" s="393"/>
      <c r="N9" s="383" t="s">
        <v>3395</v>
      </c>
      <c r="O9" s="384" t="n">
        <f aca="false">IF(ISERROR(STDEVP(J23:J82))," ",STDEVP(J23:J82))</f>
        <v>2.96816441593117</v>
      </c>
      <c r="P9" s="384" t="n">
        <f aca="false">IF(ISERROR(STDEVP(K23:K82)),"  ",STDEVP(K23:K82))</f>
        <v>0.640312423743285</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7</v>
      </c>
      <c r="M13" s="409"/>
      <c r="N13" s="417" t="s">
        <v>3406</v>
      </c>
      <c r="O13" s="418" t="n">
        <f aca="false">COUNTIF(F23:F82,"&gt;0")</f>
        <v>29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3</v>
      </c>
      <c r="M14" s="409"/>
      <c r="N14" s="420" t="s">
        <v>3409</v>
      </c>
      <c r="O14" s="421" t="n">
        <f aca="false">COUNTIF($J$23:$J$82,"&gt;-1")</f>
        <v>20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10</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0.689655172413793</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2.176</v>
      </c>
      <c r="C20" s="461" t="n">
        <f aca="false">SUM(C23:C62)</f>
        <v>0.583</v>
      </c>
      <c r="D20" s="462"/>
      <c r="E20" s="463" t="s">
        <v>3419</v>
      </c>
      <c r="F20" s="464" t="n">
        <f aca="false">($B20*$B$7+$C20*$C$7)/100</f>
        <v>1.45915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1.1968</v>
      </c>
      <c r="C21" s="472" t="n">
        <f aca="false">C20*C7/100</f>
        <v>0.26235</v>
      </c>
      <c r="D21" s="473" t="s">
        <v>3422</v>
      </c>
      <c r="E21" s="474"/>
      <c r="F21" s="475" t="n">
        <f aca="false">B21+C21</f>
        <v>1.45915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0.00275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0.00275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132</v>
      </c>
      <c r="B24" s="519" t="n">
        <v>1.75</v>
      </c>
      <c r="C24" s="520" t="n">
        <v>0.5</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1.1875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1.1875</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193</v>
      </c>
      <c r="B25" s="519" t="n">
        <v>0.005</v>
      </c>
      <c r="C25" s="520"/>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0.00275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0.00275</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0.25</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0.1375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0.1375</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289</v>
      </c>
      <c r="B27" s="519" t="n">
        <v>0.02</v>
      </c>
      <c r="C27" s="520"/>
      <c r="D27" s="521" t="str">
        <f aca="false">IF(ISERROR(VLOOKUP($A27,'liste reference'!$A$6:$B$1174,2,0)),IF(ISERROR(VLOOKUP($A27,'liste reference'!$B$6:$B$1174,1,0)),"",VLOOKUP($A27,'liste reference'!$B$6:$B$1174,1,0)),VLOOKUP($A27,'liste reference'!$A$6:$B$1174,2,0))</f>
        <v>Nostoc sp.</v>
      </c>
      <c r="E27" s="522" t="e">
        <f aca="false">IF(D27="",0,VLOOKUP(D27,D$22:D26,1,0))</f>
        <v>#N/A</v>
      </c>
      <c r="F27" s="523" t="n">
        <f aca="false">IF(AND(OR(A27="",A27="!!!!!!"),B27="",C27=""),"",IF(OR(AND(B27="",C27=""),ISERROR(C27+B27)),"!!!",($B27*$B$7+$C27*$C$7)/100))</f>
        <v>0.011</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9</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Nostoc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1105</v>
      </c>
      <c r="R27" s="513" t="n">
        <f aca="false">IF(ISTEXT(H27),"",(B27*$B$7/100)+(C27*$C$7/100))</f>
        <v>0.011</v>
      </c>
      <c r="S27" s="514" t="n">
        <f aca="false">IF(OR(ISTEXT(H27),R27=0),"",IF(R27&lt;0.1,1,IF(R27&lt;1,2,IF(R27&lt;10,3,IF(R27&lt;50,4,IF(R27&gt;=50,5,""))))))</f>
        <v>1</v>
      </c>
      <c r="T27" s="514" t="n">
        <f aca="false">IF(ISERROR(S27*J27),0,S27*J27)</f>
        <v>9</v>
      </c>
      <c r="U27" s="514" t="n">
        <f aca="false">IF(ISERROR(S27*J27*K27),0,S27*J27*K27)</f>
        <v>9</v>
      </c>
      <c r="V27" s="530" t="n">
        <f aca="false">IF(ISERROR(S27*K27),0,S27*K27)</f>
        <v>1</v>
      </c>
      <c r="W27" s="531"/>
      <c r="X27" s="532"/>
      <c r="Y27" s="517" t="str">
        <f aca="false">IF(AND(ISNUMBER(F27),OR(A27="",A27="!!!!!!")),"!!!!!!",IF(A27="new.cod","NEWCOD",IF(AND((Z27=""),ISTEXT(A27),A27&lt;&gt;"!!!!!!"),A27,IF(Z27="","",INDEX('liste reference'!$A$6:$A$1174,Z27)))))</f>
        <v>NOSSPX</v>
      </c>
      <c r="Z27" s="499" t="n">
        <f aca="false">IF(ISERROR(MATCH(A27,'liste reference'!$A$6:$A$1174,0)),IF(ISERROR(MATCH(A27,'liste reference'!$B$6:$B$1174,0)),"",(MATCH(A27,'liste reference'!$B$6:$B$1174,0))),(MATCH(A27,'liste reference'!$A$6:$A$1174,0)))</f>
        <v>84</v>
      </c>
    </row>
    <row r="28" customFormat="false" ht="12.75" hidden="false" customHeight="false" outlineLevel="0" collapsed="false">
      <c r="A28" s="518" t="s">
        <v>307</v>
      </c>
      <c r="B28" s="519" t="n">
        <v>0.005</v>
      </c>
      <c r="C28" s="520"/>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0.00275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3462</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0.00275</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341</v>
      </c>
      <c r="B29" s="519" t="n">
        <v>0.05</v>
      </c>
      <c r="C29" s="520"/>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0.0275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0.0275</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353</v>
      </c>
      <c r="B30" s="519" t="n">
        <v>0.005</v>
      </c>
      <c r="C30" s="520"/>
      <c r="D30" s="521" t="str">
        <f aca="false">IF(ISERROR(VLOOKUP($A30,'liste reference'!$A$6:$B$1174,2,0)),IF(ISERROR(VLOOKUP($A30,'liste reference'!$B$6:$B$1174,1,0)),"",VLOOKUP($A30,'liste reference'!$B$6:$B$1174,1,0)),VLOOKUP($A30,'liste reference'!$A$6:$B$1174,2,0))</f>
        <v>Tetraspora sp.</v>
      </c>
      <c r="E30" s="522" t="e">
        <f aca="false">IF(D30="",0,VLOOKUP(D30,D$22:D29,1,0))</f>
        <v>#N/A</v>
      </c>
      <c r="F30" s="523" t="n">
        <f aca="false">IF(AND(OR(A30="",A30="!!!!!!"),B30="",C30=""),"",IF(OR(AND(B30="",C30=""),ISERROR(C30+B30)),"!!!",($B30*$B$7+$C30*$C$7)/100))</f>
        <v>0.00275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Tetraspora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1138</v>
      </c>
      <c r="R30" s="513" t="n">
        <f aca="false">IF(ISTEXT(H30),"",(B30*$B$7/100)+(C30*$C$7/100))</f>
        <v>0.00275</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TETSPX</v>
      </c>
      <c r="Z30" s="499" t="n">
        <f aca="false">IF(ISERROR(MATCH(A30,'liste reference'!$A$6:$A$1174,0)),IF(ISERROR(MATCH(A30,'liste reference'!$B$6:$B$1174,0)),"",(MATCH(A30,'liste reference'!$B$6:$B$1174,0))),(MATCH(A30,'liste reference'!$A$6:$A$1174,0)))</f>
        <v>107</v>
      </c>
    </row>
    <row r="31" customFormat="false" ht="12.75" hidden="false" customHeight="false" outlineLevel="0" collapsed="false">
      <c r="A31" s="518" t="s">
        <v>374</v>
      </c>
      <c r="B31" s="519" t="n">
        <v>0.005</v>
      </c>
      <c r="C31" s="520" t="n">
        <v>0.005</v>
      </c>
      <c r="D31" s="521" t="str">
        <f aca="false">IF(ISERROR(VLOOKUP($A31,'liste reference'!$A$6:$B$1174,2,0)),IF(ISERROR(VLOOKUP($A31,'liste reference'!$B$6:$B$1174,1,0)),"",VLOOKUP($A31,'liste reference'!$B$6:$B$1174,1,0)),VLOOKUP($A31,'liste reference'!$A$6:$B$1174,2,0))</f>
        <v>Tolypothrix sp.</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Tolypothrix sp.</v>
      </c>
      <c r="M31" s="533"/>
      <c r="N31" s="533"/>
      <c r="O31" s="533"/>
      <c r="P31" s="528" t="s">
        <v>3442</v>
      </c>
      <c r="Q31" s="529" t="n">
        <f aca="false">IF(OR($A31="NEWCOD",$A31="!!!!!!"),IF(X31="","NoCod",X31),IF($A31="","",IF(ISERROR(VLOOKUP($A31,'liste reference'!$A$6:$H$1174,8,FALSE())),IF(ISERROR(VLOOKUP($A31,'liste reference'!$B$6:$H$1174,7,FALSE())),"",VLOOKUP($A31,'liste reference'!$B$6:$H$1174,7,FALSE())),VLOOKUP($A31,'liste reference'!$A$6:$H$1174,8,FALSE()))))</f>
        <v>6304</v>
      </c>
      <c r="R31" s="513" t="n">
        <f aca="false">IF(ISTEXT(H31),"",(B31*$B$7/100)+(C31*$C$7/100))</f>
        <v>0.005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TOYSPX</v>
      </c>
      <c r="Z31" s="499" t="n">
        <f aca="false">IF(ISERROR(MATCH(A31,'liste reference'!$A$6:$A$1174,0)),IF(ISERROR(MATCH(A31,'liste reference'!$B$6:$B$1174,0)),"",(MATCH(A31,'liste reference'!$B$6:$B$1174,0))),(MATCH(A31,'liste reference'!$A$6:$A$1174,0)))</f>
        <v>113</v>
      </c>
    </row>
    <row r="32" customFormat="false" ht="12.75" hidden="false" customHeight="false" outlineLevel="0" collapsed="false">
      <c r="A32" s="518" t="s">
        <v>446</v>
      </c>
      <c r="B32" s="519" t="n">
        <v>0.005</v>
      </c>
      <c r="C32" s="520"/>
      <c r="D32" s="521" t="str">
        <f aca="false">IF(ISERROR(VLOOKUP($A32,'liste reference'!$A$6:$B$1174,2,0)),IF(ISERROR(VLOOKUP($A32,'liste reference'!$B$6:$B$1174,1,0)),"",VLOOKUP($A32,'liste reference'!$B$6:$B$1174,1,0)),VLOOKUP($A32,'liste reference'!$A$6:$B$1174,2,0))</f>
        <v>Chiloscyphus polyanthos</v>
      </c>
      <c r="E32" s="522" t="e">
        <f aca="false">IF(D32="",0,VLOOKUP(D32,D$22:D31,1,0))</f>
        <v>#N/A</v>
      </c>
      <c r="F32" s="523" t="n">
        <f aca="false">IF(AND(OR(A32="",A32="!!!!!!"),B32="",C32=""),"",IF(OR(AND(B32="",C32=""),ISERROR(C32+B32)),"!!!",($B32*$B$7+$C32*$C$7)/100))</f>
        <v>0.00275</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Chiloscyphus polyanthos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1186</v>
      </c>
      <c r="R32" s="513" t="n">
        <f aca="false">IF(ISTEXT(H32),"",(B32*$B$7/100)+(C32*$C$7/100))</f>
        <v>0.00275</v>
      </c>
      <c r="S32" s="514" t="n">
        <f aca="false">IF(OR(ISTEXT(H32),R32=0),"",IF(R32&lt;0.1,1,IF(R32&lt;1,2,IF(R32&lt;10,3,IF(R32&lt;50,4,IF(R32&gt;=50,5,""))))))</f>
        <v>1</v>
      </c>
      <c r="T32" s="514" t="n">
        <f aca="false">IF(ISERROR(S32*J32),0,S32*J32)</f>
        <v>15</v>
      </c>
      <c r="U32" s="514" t="n">
        <f aca="false">IF(ISERROR(S32*J32*K32),0,S32*J32*K32)</f>
        <v>30</v>
      </c>
      <c r="V32" s="530" t="n">
        <f aca="false">IF(ISERROR(S32*K32),0,S32*K32)</f>
        <v>2</v>
      </c>
      <c r="W32" s="531"/>
      <c r="X32" s="532"/>
      <c r="Y32" s="517" t="str">
        <f aca="false">IF(AND(ISNUMBER(F32),OR(A32="",A32="!!!!!!")),"!!!!!!",IF(A32="new.cod","NEWCOD",IF(AND((Z32=""),ISTEXT(A32),A32&lt;&gt;"!!!!!!"),A32,IF(Z32="","",INDEX('liste reference'!$A$6:$A$1174,Z32)))))</f>
        <v>CHIPOL</v>
      </c>
      <c r="Z32" s="499" t="n">
        <f aca="false">IF(ISERROR(MATCH(A32,'liste reference'!$A$6:$A$1174,0)),IF(ISERROR(MATCH(A32,'liste reference'!$B$6:$B$1174,0)),"",(MATCH(A32,'liste reference'!$B$6:$B$1174,0))),(MATCH(A32,'liste reference'!$A$6:$A$1174,0)))</f>
        <v>137</v>
      </c>
    </row>
    <row r="33" customFormat="false" ht="12.75" hidden="false" customHeight="false" outlineLevel="0" collapsed="false">
      <c r="A33" s="518" t="s">
        <v>692</v>
      </c>
      <c r="B33" s="519" t="n">
        <v>0.005</v>
      </c>
      <c r="C33" s="520"/>
      <c r="D33" s="521" t="str">
        <f aca="false">IF(ISERROR(VLOOKUP($A33,'liste reference'!$A$6:$B$1174,2,0)),IF(ISERROR(VLOOKUP($A33,'liste reference'!$B$6:$B$1174,1,0)),"",VLOOKUP($A33,'liste reference'!$B$6:$B$1174,1,0)),VLOOKUP($A33,'liste reference'!$A$6:$B$1174,2,0))</f>
        <v>Calliergonella cuspidata</v>
      </c>
      <c r="E33" s="522" t="e">
        <f aca="false">IF(D33="",0,VLOOKUP(D33,D$22:D32,1,0))</f>
        <v>#N/A</v>
      </c>
      <c r="F33" s="523" t="n">
        <f aca="false">IF(AND(OR(A33="",A33="!!!!!!"),B33="",C33=""),"",IF(OR(AND(B33="",C33=""),ISERROR(C33+B33)),"!!!",($B33*$B$7+$C33*$C$7)/100))</f>
        <v>0.00275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Calliergonella cuspidata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1228</v>
      </c>
      <c r="R33" s="513" t="n">
        <f aca="false">IF(ISTEXT(H33),"",(B33*$B$7/100)+(C33*$C$7/100))</f>
        <v>0.00275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CAECUS</v>
      </c>
      <c r="Z33" s="499" t="n">
        <f aca="false">IF(ISERROR(MATCH(A33,'liste reference'!$A$6:$A$1174,0)),IF(ISERROR(MATCH(A33,'liste reference'!$B$6:$B$1174,0)),"",(MATCH(A33,'liste reference'!$B$6:$B$1174,0))),(MATCH(A33,'liste reference'!$A$6:$A$1174,0)))</f>
        <v>219</v>
      </c>
    </row>
    <row r="34" customFormat="false" ht="12.75" hidden="false" customHeight="false" outlineLevel="0" collapsed="false">
      <c r="A34" s="518" t="s">
        <v>708</v>
      </c>
      <c r="B34" s="519" t="n">
        <v>0.005</v>
      </c>
      <c r="C34" s="520"/>
      <c r="D34" s="521" t="str">
        <f aca="false">IF(ISERROR(VLOOKUP($A34,'liste reference'!$A$6:$B$1174,2,0)),IF(ISERROR(VLOOKUP($A34,'liste reference'!$B$6:$B$1174,1,0)),"",VLOOKUP($A34,'liste reference'!$B$6:$B$1174,1,0)),VLOOKUP($A34,'liste reference'!$A$6:$B$1174,2,0))</f>
        <v>Cinclidotus fontinaloides</v>
      </c>
      <c r="E34" s="522" t="e">
        <f aca="false">IF(D34="",0,VLOOKUP(D34,D$22:D33,1,0))</f>
        <v>#N/A</v>
      </c>
      <c r="F34" s="523" t="n">
        <f aca="false">IF(AND(OR(A34="",A34="!!!!!!"),B34="",C34=""),"",IF(OR(AND(B34="",C34=""),ISERROR(C34+B34)),"!!!",($B34*$B$7+$C34*$C$7)/100))</f>
        <v>0.00275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Cinclidotus fontinaloides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1320</v>
      </c>
      <c r="R34" s="513" t="n">
        <f aca="false">IF(ISTEXT(H34),"",(B34*$B$7/100)+(C34*$C$7/100))</f>
        <v>0.00275</v>
      </c>
      <c r="S34" s="514" t="n">
        <f aca="false">IF(OR(ISTEXT(H34),R34=0),"",IF(R34&lt;0.1,1,IF(R34&lt;1,2,IF(R34&lt;10,3,IF(R34&lt;50,4,IF(R34&gt;=50,5,""))))))</f>
        <v>1</v>
      </c>
      <c r="T34" s="514" t="n">
        <f aca="false">IF(ISERROR(S34*J34),0,S34*J34)</f>
        <v>12</v>
      </c>
      <c r="U34" s="514" t="n">
        <f aca="false">IF(ISERROR(S34*J34*K34),0,S34*J34*K34)</f>
        <v>24</v>
      </c>
      <c r="V34" s="530" t="n">
        <f aca="false">IF(ISERROR(S34*K34),0,S34*K34)</f>
        <v>2</v>
      </c>
      <c r="W34" s="531"/>
      <c r="X34" s="532"/>
      <c r="Y34" s="517" t="str">
        <f aca="false">IF(AND(ISNUMBER(F34),OR(A34="",A34="!!!!!!")),"!!!!!!",IF(A34="new.cod","NEWCOD",IF(AND((Z34=""),ISTEXT(A34),A34&lt;&gt;"!!!!!!"),A34,IF(Z34="","",INDEX('liste reference'!$A$6:$A$1174,Z34)))))</f>
        <v>CINFON</v>
      </c>
      <c r="Z34" s="499" t="n">
        <f aca="false">IF(ISERROR(MATCH(A34,'liste reference'!$A$6:$A$1174,0)),IF(ISERROR(MATCH(A34,'liste reference'!$B$6:$B$1174,0)),"",(MATCH(A34,'liste reference'!$B$6:$B$1174,0))),(MATCH(A34,'liste reference'!$A$6:$A$1174,0)))</f>
        <v>223</v>
      </c>
    </row>
    <row r="35" customFormat="false" ht="12.75" hidden="false" customHeight="false" outlineLevel="0" collapsed="false">
      <c r="A35" s="518" t="s">
        <v>892</v>
      </c>
      <c r="B35" s="519" t="n">
        <v>0.02</v>
      </c>
      <c r="C35" s="520" t="n">
        <v>0.02</v>
      </c>
      <c r="D35" s="521" t="str">
        <f aca="false">IF(ISERROR(VLOOKUP($A35,'liste reference'!$A$6:$B$1174,2,0)),IF(ISERROR(VLOOKUP($A35,'liste reference'!$B$6:$B$1174,1,0)),"",VLOOKUP($A35,'liste reference'!$B$6:$B$1174,1,0)),VLOOKUP($A35,'liste reference'!$A$6:$B$1174,2,0))</f>
        <v>Fontinalis hypnoides var. duriaei</v>
      </c>
      <c r="E35" s="522" t="e">
        <f aca="false">IF(D35="",0,VLOOKUP(D35,D$22:D34,1,0))</f>
        <v>#N/A</v>
      </c>
      <c r="F35" s="523" t="n">
        <f aca="false">IF(AND(OR(A35="",A35="!!!!!!"),B35="",C35=""),"",IF(OR(AND(B35="",C35=""),ISERROR(C35+B35)),"!!!",($B35*$B$7+$C35*$C$7)/100))</f>
        <v>0.02</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14</v>
      </c>
      <c r="K35" s="526" t="n">
        <f aca="false">IF(ISNUMBER($H35),IF(ISERROR(VLOOKUP($A35,'liste reference'!$A$6:$Q$1174,7,0)),IF(ISERROR(VLOOKUP($A35,'liste reference'!$B$6:$Q$1174,6,0)),"nu",VLOOKUP($A35,'liste reference'!$B$6:$Q$1174,6,0)),VLOOKUP($A35,'liste reference'!$A$6:$Q$1174,7,0)),"nu")</f>
        <v>3</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Fontinalis hypnoides var. duriaei</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10215</v>
      </c>
      <c r="R35" s="513" t="n">
        <f aca="false">IF(ISTEXT(H35),"",(B35*$B$7/100)+(C35*$C$7/100))</f>
        <v>0.02</v>
      </c>
      <c r="S35" s="514" t="n">
        <f aca="false">IF(OR(ISTEXT(H35),R35=0),"",IF(R35&lt;0.1,1,IF(R35&lt;1,2,IF(R35&lt;10,3,IF(R35&lt;50,4,IF(R35&gt;=50,5,""))))))</f>
        <v>1</v>
      </c>
      <c r="T35" s="514" t="n">
        <f aca="false">IF(ISERROR(S35*J35),0,S35*J35)</f>
        <v>14</v>
      </c>
      <c r="U35" s="514" t="n">
        <f aca="false">IF(ISERROR(S35*J35*K35),0,S35*J35*K35)</f>
        <v>42</v>
      </c>
      <c r="V35" s="530" t="n">
        <f aca="false">IF(ISERROR(S35*K35),0,S35*K35)</f>
        <v>3</v>
      </c>
      <c r="W35" s="531"/>
      <c r="X35" s="532"/>
      <c r="Y35" s="517" t="str">
        <f aca="false">IF(AND(ISNUMBER(F35),OR(A35="",A35="!!!!!!")),"!!!!!!",IF(A35="new.cod","NEWCOD",IF(AND((Z35=""),ISTEXT(A35),A35&lt;&gt;"!!!!!!"),A35,IF(Z35="","",INDEX('liste reference'!$A$6:$A$1174,Z35)))))</f>
        <v>FONHYD</v>
      </c>
      <c r="Z35" s="499" t="n">
        <f aca="false">IF(ISERROR(MATCH(A35,'liste reference'!$A$6:$A$1174,0)),IF(ISERROR(MATCH(A35,'liste reference'!$B$6:$B$1174,0)),"",(MATCH(A35,'liste reference'!$B$6:$B$1174,0))),(MATCH(A35,'liste reference'!$A$6:$A$1174,0)))</f>
        <v>275</v>
      </c>
    </row>
    <row r="36" customFormat="false" ht="12.75" hidden="false" customHeight="false" outlineLevel="0" collapsed="false">
      <c r="A36" s="518" t="s">
        <v>897</v>
      </c>
      <c r="B36" s="519" t="n">
        <v>0.01</v>
      </c>
      <c r="C36" s="520" t="n">
        <v>0.005</v>
      </c>
      <c r="D36" s="521" t="str">
        <f aca="false">IF(ISERROR(VLOOKUP($A36,'liste reference'!$A$6:$B$1174,2,0)),IF(ISERROR(VLOOKUP($A36,'liste reference'!$B$6:$B$1174,1,0)),"",VLOOKUP($A36,'liste reference'!$B$6:$B$1174,1,0)),VLOOKUP($A36,'liste reference'!$A$6:$B$1174,2,0))</f>
        <v>Fontinalis squamosa</v>
      </c>
      <c r="E36" s="522" t="e">
        <f aca="false">IF(D36="",0,VLOOKUP(D36,D$22:D35,1,0))</f>
        <v>#N/A</v>
      </c>
      <c r="F36" s="523" t="n">
        <f aca="false">IF(AND(OR(A36="",A36="!!!!!!"),B36="",C36=""),"",IF(OR(AND(B36="",C36=""),ISERROR(C36+B36)),"!!!",($B36*$B$7+$C36*$C$7)/100))</f>
        <v>0.00775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16</v>
      </c>
      <c r="K36" s="526" t="n">
        <f aca="false">IF(ISNUMBER($H36),IF(ISERROR(VLOOKUP($A36,'liste reference'!$A$6:$Q$1174,7,0)),IF(ISERROR(VLOOKUP($A36,'liste reference'!$B$6:$Q$1174,6,0)),"nu",VLOOKUP($A36,'liste reference'!$B$6:$Q$1174,6,0)),VLOOKUP($A36,'liste reference'!$A$6:$Q$1174,7,0)),"nu")</f>
        <v>3</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Fontinalis squamosa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1312</v>
      </c>
      <c r="R36" s="513" t="n">
        <f aca="false">IF(ISTEXT(H36),"",(B36*$B$7/100)+(C36*$C$7/100))</f>
        <v>0.00775</v>
      </c>
      <c r="S36" s="514" t="n">
        <f aca="false">IF(OR(ISTEXT(H36),R36=0),"",IF(R36&lt;0.1,1,IF(R36&lt;1,2,IF(R36&lt;10,3,IF(R36&lt;50,4,IF(R36&gt;=50,5,""))))))</f>
        <v>1</v>
      </c>
      <c r="T36" s="514" t="n">
        <f aca="false">IF(ISERROR(S36*J36),0,S36*J36)</f>
        <v>16</v>
      </c>
      <c r="U36" s="514" t="n">
        <f aca="false">IF(ISERROR(S36*J36*K36),0,S36*J36*K36)</f>
        <v>48</v>
      </c>
      <c r="V36" s="530" t="n">
        <f aca="false">IF(ISERROR(S36*K36),0,S36*K36)</f>
        <v>3</v>
      </c>
      <c r="W36" s="531"/>
      <c r="X36" s="532"/>
      <c r="Y36" s="517" t="str">
        <f aca="false">IF(AND(ISNUMBER(F36),OR(A36="",A36="!!!!!!")),"!!!!!!",IF(A36="new.cod","NEWCOD",IF(AND((Z36=""),ISTEXT(A36),A36&lt;&gt;"!!!!!!"),A36,IF(Z36="","",INDEX('liste reference'!$A$6:$A$1174,Z36)))))</f>
        <v>FONSQU</v>
      </c>
      <c r="Z36" s="499" t="n">
        <f aca="false">IF(ISERROR(MATCH(A36,'liste reference'!$A$6:$A$1174,0)),IF(ISERROR(MATCH(A36,'liste reference'!$B$6:$B$1174,0)),"",(MATCH(A36,'liste reference'!$B$6:$B$1174,0))),(MATCH(A36,'liste reference'!$A$6:$A$1174,0)))</f>
        <v>277</v>
      </c>
    </row>
    <row r="37" customFormat="false" ht="12.75" hidden="false" customHeight="false" outlineLevel="0" collapsed="false">
      <c r="A37" s="518" t="s">
        <v>972</v>
      </c>
      <c r="B37" s="519" t="n">
        <v>0.005</v>
      </c>
      <c r="C37" s="520" t="n">
        <v>0.005</v>
      </c>
      <c r="D37" s="521" t="str">
        <f aca="false">IF(ISERROR(VLOOKUP($A37,'liste reference'!$A$6:$B$1174,2,0)),IF(ISERROR(VLOOKUP($A37,'liste reference'!$B$6:$B$1174,1,0)),"",VLOOKUP($A37,'liste reference'!$B$6:$B$1174,1,0)),VLOOKUP($A37,'liste reference'!$A$6:$B$1174,2,0))</f>
        <v>Leptodictyum riparium </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5</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Leptodictyum riparium </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1244</v>
      </c>
      <c r="R37" s="513" t="n">
        <f aca="false">IF(ISTEXT(H37),"",(B37*$B$7/100)+(C37*$C$7/100))</f>
        <v>0.005</v>
      </c>
      <c r="S37" s="514" t="n">
        <f aca="false">IF(OR(ISTEXT(H37),R37=0),"",IF(R37&lt;0.1,1,IF(R37&lt;1,2,IF(R37&lt;10,3,IF(R37&lt;50,4,IF(R37&gt;=50,5,""))))))</f>
        <v>1</v>
      </c>
      <c r="T37" s="514" t="n">
        <f aca="false">IF(ISERROR(S37*J37),0,S37*J37)</f>
        <v>5</v>
      </c>
      <c r="U37" s="514" t="n">
        <f aca="false">IF(ISERROR(S37*J37*K37),0,S37*J37*K37)</f>
        <v>10</v>
      </c>
      <c r="V37" s="530" t="n">
        <f aca="false">IF(ISERROR(S37*K37),0,S37*K37)</f>
        <v>2</v>
      </c>
      <c r="W37" s="531"/>
      <c r="X37" s="532"/>
      <c r="Y37" s="517" t="str">
        <f aca="false">IF(AND(ISNUMBER(F37),OR(A37="",A37="!!!!!!")),"!!!!!!",IF(A37="new.cod","NEWCOD",IF(AND((Z37=""),ISTEXT(A37),A37&lt;&gt;"!!!!!!"),A37,IF(Z37="","",INDEX('liste reference'!$A$6:$A$1174,Z37)))))</f>
        <v>LEORIP</v>
      </c>
      <c r="Z37" s="499" t="n">
        <f aca="false">IF(ISERROR(MATCH(A37,'liste reference'!$A$6:$A$1174,0)),IF(ISERROR(MATCH(A37,'liste reference'!$B$6:$B$1174,0)),"",(MATCH(A37,'liste reference'!$B$6:$B$1174,0))),(MATCH(A37,'liste reference'!$A$6:$A$1174,0)))</f>
        <v>298</v>
      </c>
    </row>
    <row r="38" customFormat="false" ht="12.75" hidden="false" customHeight="false" outlineLevel="0" collapsed="false">
      <c r="A38" s="518" t="s">
        <v>1120</v>
      </c>
      <c r="B38" s="519" t="n">
        <v>0.01</v>
      </c>
      <c r="C38" s="520"/>
      <c r="D38" s="521" t="str">
        <f aca="false">IF(ISERROR(VLOOKUP($A38,'liste reference'!$A$6:$B$1174,2,0)),IF(ISERROR(VLOOKUP($A38,'liste reference'!$B$6:$B$1174,1,0)),"",VLOOKUP($A38,'liste reference'!$B$6:$B$1174,1,0)),VLOOKUP($A38,'liste reference'!$A$6:$B$1174,2,0))</f>
        <v>Rhynchostegium riparioides</v>
      </c>
      <c r="E38" s="522" t="e">
        <f aca="false">IF(D38="",0,VLOOKUP(D38,D$22:D37,1,0))</f>
        <v>#N/A</v>
      </c>
      <c r="F38" s="523" t="n">
        <f aca="false">IF(AND(OR(A38="",A38="!!!!!!"),B38="",C38=""),"",IF(OR(AND(B38="",C38=""),ISERROR(C38+B38)),"!!!",($B38*$B$7+$C38*$C$7)/100))</f>
        <v>0.0055</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Rhynchostegium riparioides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31691</v>
      </c>
      <c r="R38" s="513" t="n">
        <f aca="false">IF(ISTEXT(H38),"",(B38*$B$7/100)+(C38*$C$7/100))</f>
        <v>0.0055</v>
      </c>
      <c r="S38" s="514" t="n">
        <f aca="false">IF(OR(ISTEXT(H38),R38=0),"",IF(R38&lt;0.1,1,IF(R38&lt;1,2,IF(R38&lt;10,3,IF(R38&lt;50,4,IF(R38&gt;=50,5,""))))))</f>
        <v>1</v>
      </c>
      <c r="T38" s="514" t="n">
        <f aca="false">IF(ISERROR(S38*J38),0,S38*J38)</f>
        <v>12</v>
      </c>
      <c r="U38" s="514" t="n">
        <f aca="false">IF(ISERROR(S38*J38*K38),0,S38*J38*K38)</f>
        <v>12</v>
      </c>
      <c r="V38" s="530" t="n">
        <f aca="false">IF(ISERROR(S38*K38),0,S38*K38)</f>
        <v>1</v>
      </c>
      <c r="W38" s="531"/>
      <c r="X38" s="532"/>
      <c r="Y38" s="517" t="str">
        <f aca="false">IF(AND(ISNUMBER(F38),OR(A38="",A38="!!!!!!")),"!!!!!!",IF(A38="new.cod","NEWCOD",IF(AND((Z38=""),ISTEXT(A38),A38&lt;&gt;"!!!!!!"),A38,IF(Z38="","",INDEX('liste reference'!$A$6:$A$1174,Z38)))))</f>
        <v>RHYRIP</v>
      </c>
      <c r="Z38" s="499" t="n">
        <f aca="false">IF(ISERROR(MATCH(A38,'liste reference'!$A$6:$A$1174,0)),IF(ISERROR(MATCH(A38,'liste reference'!$B$6:$B$1174,0)),"",(MATCH(A38,'liste reference'!$B$6:$B$1174,0))),(MATCH(A38,'liste reference'!$A$6:$A$1174,0)))</f>
        <v>345</v>
      </c>
    </row>
    <row r="39" customFormat="false" ht="12.75" hidden="false" customHeight="false" outlineLevel="0" collapsed="false">
      <c r="A39" s="518" t="s">
        <v>1253</v>
      </c>
      <c r="B39" s="519"/>
      <c r="C39" s="520" t="n">
        <v>0.005</v>
      </c>
      <c r="D39" s="521" t="str">
        <f aca="false">IF(ISERROR(VLOOKUP($A39,'liste reference'!$A$6:$B$1174,2,0)),IF(ISERROR(VLOOKUP($A39,'liste reference'!$B$6:$B$1174,1,0)),"",VLOOKUP($A39,'liste reference'!$B$6:$B$1174,1,0)),VLOOKUP($A39,'liste reference'!$A$6:$B$1174,2,0))</f>
        <v>Equisetum arvense</v>
      </c>
      <c r="E39" s="522" t="e">
        <f aca="false">IF(D39="",0,VLOOKUP(D39,D$22:D38,1,0))</f>
        <v>#N/A</v>
      </c>
      <c r="F39" s="523" t="n">
        <f aca="false">IF(AND(OR(A39="",A39="!!!!!!"),B39="",C39=""),"",IF(OR(AND(B39="",C39=""),ISERROR(C39+B39)),"!!!",($B39*$B$7+$C39*$C$7)/100))</f>
        <v>0.00225</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arvense</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1384</v>
      </c>
      <c r="R39" s="513" t="n">
        <f aca="false">IF(ISTEXT(H39),"",(B39*$B$7/100)+(C39*$C$7/100))</f>
        <v>0.00225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EQUARV</v>
      </c>
      <c r="Z39" s="499" t="n">
        <f aca="false">IF(ISERROR(MATCH(A39,'liste reference'!$A$6:$A$1174,0)),IF(ISERROR(MATCH(A39,'liste reference'!$B$6:$B$1174,0)),"",(MATCH(A39,'liste reference'!$B$6:$B$1174,0))),(MATCH(A39,'liste reference'!$A$6:$A$1174,0)))</f>
        <v>385</v>
      </c>
    </row>
    <row r="40" customFormat="false" ht="12.75" hidden="false" customHeight="false" outlineLevel="0" collapsed="false">
      <c r="A40" s="518" t="s">
        <v>1268</v>
      </c>
      <c r="B40" s="519" t="n">
        <v>0.001</v>
      </c>
      <c r="C40" s="520" t="n">
        <v>0.005</v>
      </c>
      <c r="D40" s="521" t="str">
        <f aca="false">IF(ISERROR(VLOOKUP($A40,'liste reference'!$A$6:$B$1174,2,0)),IF(ISERROR(VLOOKUP($A40,'liste reference'!$B$6:$B$1174,1,0)),"",VLOOKUP($A40,'liste reference'!$B$6:$B$1174,1,0)),VLOOKUP($A40,'liste reference'!$A$6:$B$1174,2,0))</f>
        <v>Equisetum ramosissimum</v>
      </c>
      <c r="E40" s="522" t="e">
        <f aca="false">IF(D40="",0,VLOOKUP(D40,D$22:D39,1,0))</f>
        <v>#N/A</v>
      </c>
      <c r="F40" s="523" t="n">
        <f aca="false">IF(AND(OR(A40="",A40="!!!!!!"),B40="",C40=""),"",IF(OR(AND(B40="",C40=""),ISERROR(C40+B40)),"!!!",($B40*$B$7+$C40*$C$7)/100))</f>
        <v>0.0028</v>
      </c>
      <c r="G40" s="524" t="str">
        <f aca="false">IF(A40="","",IF(ISERROR(VLOOKUP($A40,'liste reference'!$A$6:$Q$1174,9,0)),IF(ISERROR(VLOOKUP($A40,'liste reference'!$B$6:$Q$1174,8,0)),"    -",VLOOKUP($A40,'liste reference'!$B$6:$Q$1174,8,0)),VLOOKUP($A40,'liste reference'!$A$6:$Q$1174,9,0)))</f>
        <v>PTE</v>
      </c>
      <c r="H40" s="525" t="n">
        <f aca="false">IF(A40="","x",IF(ISERROR(VLOOKUP($A40,'liste reference'!$A$6:$Q$1174,10,0)),IF(ISERROR(VLOOKUP($A40,'liste reference'!$B$6:$Q$1174,9,0)),"x",VLOOKUP($A40,'liste reference'!$B$6:$Q$1174,9,0)),VLOOKUP($A40,'liste reference'!$A$6:$Q$1174,10,0)))</f>
        <v>6</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Equisetum ramosissimum</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29992</v>
      </c>
      <c r="R40" s="513" t="n">
        <f aca="false">IF(ISTEXT(H40),"",(B40*$B$7/100)+(C40*$C$7/100))</f>
        <v>0.0028</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EQURAM</v>
      </c>
      <c r="Z40" s="499" t="n">
        <f aca="false">IF(ISERROR(MATCH(A40,'liste reference'!$A$6:$A$1174,0)),IF(ISERROR(MATCH(A40,'liste reference'!$B$6:$B$1174,0)),"",(MATCH(A40,'liste reference'!$B$6:$B$1174,0))),(MATCH(A40,'liste reference'!$A$6:$A$1174,0)))</f>
        <v>390</v>
      </c>
    </row>
    <row r="41" customFormat="false" ht="12.75" hidden="false" customHeight="false" outlineLevel="0" collapsed="false">
      <c r="A41" s="518" t="s">
        <v>1311</v>
      </c>
      <c r="B41" s="519" t="n">
        <v>0.01</v>
      </c>
      <c r="C41" s="520" t="n">
        <v>0.005</v>
      </c>
      <c r="D41" s="521" t="str">
        <f aca="false">IF(ISERROR(VLOOKUP($A41,'liste reference'!$A$6:$B$1174,2,0)),IF(ISERROR(VLOOKUP($A41,'liste reference'!$B$6:$B$1174,1,0)),"",VLOOKUP($A41,'liste reference'!$B$6:$B$1174,1,0)),VLOOKUP($A41,'liste reference'!$A$6:$B$1174,2,0))</f>
        <v>Osmunda regalis</v>
      </c>
      <c r="E41" s="522" t="e">
        <f aca="false">IF(D41="",0,VLOOKUP(D41,D$22:D40,1,0))</f>
        <v>#N/A</v>
      </c>
      <c r="F41" s="523" t="n">
        <f aca="false">IF(AND(OR(A41="",A41="!!!!!!"),B41="",C41=""),"",IF(OR(AND(B41="",C41=""),ISERROR(C41+B41)),"!!!",($B41*$B$7+$C41*$C$7)/100))</f>
        <v>0.00775</v>
      </c>
      <c r="G41" s="524" t="str">
        <f aca="false">IF(A41="","",IF(ISERROR(VLOOKUP($A41,'liste reference'!$A$6:$Q$1174,9,0)),IF(ISERROR(VLOOKUP($A41,'liste reference'!$B$6:$Q$1174,8,0)),"    -",VLOOKUP($A41,'liste reference'!$B$6:$Q$1174,8,0)),VLOOKUP($A41,'liste reference'!$A$6:$Q$1174,9,0)))</f>
        <v>PTE</v>
      </c>
      <c r="H41" s="525" t="n">
        <f aca="false">IF(A41="","x",IF(ISERROR(VLOOKUP($A41,'liste reference'!$A$6:$Q$1174,10,0)),IF(ISERROR(VLOOKUP($A41,'liste reference'!$B$6:$Q$1174,9,0)),"x",VLOOKUP($A41,'liste reference'!$B$6:$Q$1174,9,0)),VLOOKUP($A41,'liste reference'!$A$6:$Q$1174,10,0)))</f>
        <v>6</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Osmunda regalis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1403</v>
      </c>
      <c r="R41" s="513" t="n">
        <f aca="false">IF(ISTEXT(H41),"",(B41*$B$7/100)+(C41*$C$7/100))</f>
        <v>0.00775</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OSMREG</v>
      </c>
      <c r="Z41" s="499" t="n">
        <f aca="false">IF(ISERROR(MATCH(A41,'liste reference'!$A$6:$A$1174,0)),IF(ISERROR(MATCH(A41,'liste reference'!$B$6:$B$1174,0)),"",(MATCH(A41,'liste reference'!$B$6:$B$1174,0))),(MATCH(A41,'liste reference'!$A$6:$A$1174,0)))</f>
        <v>407</v>
      </c>
    </row>
    <row r="42" customFormat="false" ht="12.75" hidden="false" customHeight="false" outlineLevel="0" collapsed="false">
      <c r="A42" s="518" t="s">
        <v>1326</v>
      </c>
      <c r="B42" s="519"/>
      <c r="C42" s="520" t="n">
        <v>0.001</v>
      </c>
      <c r="D42" s="521" t="str">
        <f aca="false">IF(ISERROR(VLOOKUP($A42,'liste reference'!$A$6:$B$1174,2,0)),IF(ISERROR(VLOOKUP($A42,'liste reference'!$B$6:$B$1174,1,0)),"",VLOOKUP($A42,'liste reference'!$B$6:$B$1174,1,0)),VLOOKUP($A42,'liste reference'!$A$6:$B$1174,2,0))</f>
        <v>Alisma lanceolatum</v>
      </c>
      <c r="E42" s="522" t="e">
        <f aca="false">IF(D42="",0,VLOOKUP(D42,D$22:D41,1,0))</f>
        <v>#N/A</v>
      </c>
      <c r="F42" s="523" t="n">
        <f aca="false">IF(AND(OR(A42="",A42="!!!!!!"),B42="",C42=""),"",IF(OR(AND(B42="",C42=""),ISERROR(C42+B42)),"!!!",($B42*$B$7+$C42*$C$7)/100))</f>
        <v>0.00045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9</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Alisma lanceolatum</v>
      </c>
      <c r="M42" s="527"/>
      <c r="N42" s="527"/>
      <c r="O42" s="527"/>
      <c r="P42" s="528" t="s">
        <v>3462</v>
      </c>
      <c r="Q42" s="529" t="n">
        <f aca="false">IF(OR($A42="NEWCOD",$A42="!!!!!!"),IF(X42="","NoCod",X42),IF($A42="","",IF(ISERROR(VLOOKUP($A42,'liste reference'!$A$6:$H$1174,8,FALSE())),IF(ISERROR(VLOOKUP($A42,'liste reference'!$B$6:$H$1174,7,FALSE())),"",VLOOKUP($A42,'liste reference'!$B$6:$H$1174,7,FALSE())),VLOOKUP($A42,'liste reference'!$A$6:$H$1174,8,FALSE()))))</f>
        <v>1446</v>
      </c>
      <c r="R42" s="513" t="n">
        <f aca="false">IF(ISTEXT(H42),"",(B42*$B$7/100)+(C42*$C$7/100))</f>
        <v>0.00045</v>
      </c>
      <c r="S42" s="514" t="n">
        <f aca="false">IF(OR(ISTEXT(H42),R42=0),"",IF(R42&lt;0.1,1,IF(R42&lt;1,2,IF(R42&lt;10,3,IF(R42&lt;50,4,IF(R42&gt;=50,5,""))))))</f>
        <v>1</v>
      </c>
      <c r="T42" s="514" t="n">
        <f aca="false">IF(ISERROR(S42*J42),0,S42*J42)</f>
        <v>9</v>
      </c>
      <c r="U42" s="514" t="n">
        <f aca="false">IF(ISERROR(S42*J42*K42),0,S42*J42*K42)</f>
        <v>18</v>
      </c>
      <c r="V42" s="530" t="n">
        <f aca="false">IF(ISERROR(S42*K42),0,S42*K42)</f>
        <v>2</v>
      </c>
      <c r="W42" s="531"/>
      <c r="X42" s="532"/>
      <c r="Y42" s="517" t="str">
        <f aca="false">IF(AND(ISNUMBER(F42),OR(A42="",A42="!!!!!!")),"!!!!!!",IF(A42="new.cod","NEWCOD",IF(AND((Z42=""),ISTEXT(A42),A42&lt;&gt;"!!!!!!"),A42,IF(Z42="","",INDEX('liste reference'!$A$6:$A$1174,Z42)))))</f>
        <v>ALILAN</v>
      </c>
      <c r="Z42" s="499" t="n">
        <f aca="false">IF(ISERROR(MATCH(A42,'liste reference'!$A$6:$A$1174,0)),IF(ISERROR(MATCH(A42,'liste reference'!$B$6:$B$1174,0)),"",(MATCH(A42,'liste reference'!$B$6:$B$1174,0))),(MATCH(A42,'liste reference'!$A$6:$A$1174,0)))</f>
        <v>414</v>
      </c>
    </row>
    <row r="43" customFormat="false" ht="12.75" hidden="false" customHeight="false" outlineLevel="0" collapsed="false">
      <c r="A43" s="518" t="s">
        <v>1555</v>
      </c>
      <c r="B43" s="519"/>
      <c r="C43" s="520" t="n">
        <v>0.001</v>
      </c>
      <c r="D43" s="521" t="str">
        <f aca="false">IF(ISERROR(VLOOKUP($A43,'liste reference'!$A$6:$B$1174,2,0)),IF(ISERROR(VLOOKUP($A43,'liste reference'!$B$6:$B$1174,1,0)),"",VLOOKUP($A43,'liste reference'!$B$6:$B$1174,1,0)),VLOOKUP($A43,'liste reference'!$A$6:$B$1174,2,0))</f>
        <v>Myriophyllum spicatum</v>
      </c>
      <c r="E43" s="522" t="e">
        <f aca="false">IF(D43="",0,VLOOKUP(D43,D$22:D42,1,0))</f>
        <v>#N/A</v>
      </c>
      <c r="F43" s="523" t="n">
        <f aca="false">IF(AND(OR(A43="",A43="!!!!!!"),B43="",C43=""),"",IF(OR(AND(B43="",C43=""),ISERROR(C43+B43)),"!!!",($B43*$B$7+$C43*$C$7)/100))</f>
        <v>0.00045</v>
      </c>
      <c r="G43" s="524" t="str">
        <f aca="false">IF(A43="","",IF(ISERROR(VLOOKUP($A43,'liste reference'!$A$6:$Q$1174,9,0)),IF(ISERROR(VLOOKUP($A43,'liste reference'!$B$6:$Q$1174,8,0)),"    -",VLOOKUP($A43,'liste reference'!$B$6:$Q$1174,8,0)),VLOOKUP($A43,'liste reference'!$A$6:$Q$1174,9,0)))</f>
        <v>PHy</v>
      </c>
      <c r="H43" s="525" t="n">
        <f aca="false">IF(A43="","x",IF(ISERROR(VLOOKUP($A43,'liste reference'!$A$6:$Q$1174,10,0)),IF(ISERROR(VLOOKUP($A43,'liste reference'!$B$6:$Q$1174,9,0)),"x",VLOOKUP($A43,'liste reference'!$B$6:$Q$1174,9,0)),VLOOKUP($A43,'liste reference'!$A$6:$Q$1174,10,0)))</f>
        <v>7</v>
      </c>
      <c r="I43" s="309" t="n">
        <f aca="false">IF(A43="","",1)</f>
        <v>1</v>
      </c>
      <c r="J43" s="526" t="n">
        <f aca="false">IF(ISNUMBER($H43),IF(ISERROR(VLOOKUP($A43,'liste reference'!$A$6:$Q$1174,6,0)),IF(ISERROR(VLOOKUP($A43,'liste reference'!$B$6:$Q$1174,5,0)),"nu",VLOOKUP($A43,'liste reference'!$B$6:$Q$1174,5,0)),VLOOKUP($A43,'liste reference'!$A$6:$Q$1174,6,0)),"nu")</f>
        <v>8</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Myriophyllum spicatum</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1778</v>
      </c>
      <c r="R43" s="513" t="n">
        <f aca="false">IF(ISTEXT(H43),"",(B43*$B$7/100)+(C43*$C$7/100))</f>
        <v>0.00045</v>
      </c>
      <c r="S43" s="514" t="n">
        <f aca="false">IF(OR(ISTEXT(H43),R43=0),"",IF(R43&lt;0.1,1,IF(R43&lt;1,2,IF(R43&lt;10,3,IF(R43&lt;50,4,IF(R43&gt;=50,5,""))))))</f>
        <v>1</v>
      </c>
      <c r="T43" s="514" t="n">
        <f aca="false">IF(ISERROR(S43*J43),0,S43*J43)</f>
        <v>8</v>
      </c>
      <c r="U43" s="514" t="n">
        <f aca="false">IF(ISERROR(S43*J43*K43),0,S43*J43*K43)</f>
        <v>16</v>
      </c>
      <c r="V43" s="530" t="n">
        <f aca="false">IF(ISERROR(S43*K43),0,S43*K43)</f>
        <v>2</v>
      </c>
      <c r="W43" s="531"/>
      <c r="X43" s="532"/>
      <c r="Y43" s="517" t="str">
        <f aca="false">IF(AND(ISNUMBER(F43),OR(A43="",A43="!!!!!!")),"!!!!!!",IF(A43="new.cod","NEWCOD",IF(AND((Z43=""),ISTEXT(A43),A43&lt;&gt;"!!!!!!"),A43,IF(Z43="","",INDEX('liste reference'!$A$6:$A$1174,Z43)))))</f>
        <v>MYRSPI</v>
      </c>
      <c r="Z43" s="499" t="n">
        <f aca="false">IF(ISERROR(MATCH(A43,'liste reference'!$A$6:$A$1174,0)),IF(ISERROR(MATCH(A43,'liste reference'!$B$6:$B$1174,0)),"",(MATCH(A43,'liste reference'!$B$6:$B$1174,0))),(MATCH(A43,'liste reference'!$A$6:$A$1174,0)))</f>
        <v>486</v>
      </c>
    </row>
    <row r="44" customFormat="false" ht="12.75" hidden="false" customHeight="false" outlineLevel="0" collapsed="false">
      <c r="A44" s="518" t="s">
        <v>1642</v>
      </c>
      <c r="B44" s="519"/>
      <c r="C44" s="520" t="n">
        <v>0.001</v>
      </c>
      <c r="D44" s="521" t="str">
        <f aca="false">IF(ISERROR(VLOOKUP($A44,'liste reference'!$A$6:$B$1174,2,0)),IF(ISERROR(VLOOKUP($A44,'liste reference'!$B$6:$B$1174,1,0)),"",VLOOKUP($A44,'liste reference'!$B$6:$B$1174,1,0)),VLOOKUP($A44,'liste reference'!$A$6:$B$1174,2,0))</f>
        <v>Potamogeton berchtoldii</v>
      </c>
      <c r="E44" s="522" t="e">
        <f aca="false">IF(D44="",0,VLOOKUP(D44,D$22:D43,1,0))</f>
        <v>#N/A</v>
      </c>
      <c r="F44" s="523" t="n">
        <f aca="false">IF(AND(OR(A44="",A44="!!!!!!"),B44="",C44=""),"",IF(OR(AND(B44="",C44=""),ISERROR(C44+B44)),"!!!",($B44*$B$7+$C44*$C$7)/100))</f>
        <v>0.00045</v>
      </c>
      <c r="G44" s="524" t="str">
        <f aca="false">IF(A44="","",IF(ISERROR(VLOOKUP($A44,'liste reference'!$A$6:$Q$1174,9,0)),IF(ISERROR(VLOOKUP($A44,'liste reference'!$B$6:$Q$1174,8,0)),"    -",VLOOKUP($A44,'liste reference'!$B$6:$Q$1174,8,0)),VLOOKUP($A44,'liste reference'!$A$6:$Q$1174,9,0)))</f>
        <v>PHy</v>
      </c>
      <c r="H44" s="525" t="n">
        <f aca="false">IF(A44="","x",IF(ISERROR(VLOOKUP($A44,'liste reference'!$A$6:$Q$1174,10,0)),IF(ISERROR(VLOOKUP($A44,'liste reference'!$B$6:$Q$1174,9,0)),"x",VLOOKUP($A44,'liste reference'!$B$6:$Q$1174,9,0)),VLOOKUP($A44,'liste reference'!$A$6:$Q$1174,10,0)))</f>
        <v>7</v>
      </c>
      <c r="I44" s="309" t="n">
        <f aca="false">IF(A44="","",1)</f>
        <v>1</v>
      </c>
      <c r="J44" s="526" t="n">
        <f aca="false">IF(ISNUMBER($H44),IF(ISERROR(VLOOKUP($A44,'liste reference'!$A$6:$Q$1174,6,0)),IF(ISERROR(VLOOKUP($A44,'liste reference'!$B$6:$Q$1174,5,0)),"nu",VLOOKUP($A44,'liste reference'!$B$6:$Q$1174,5,0)),VLOOKUP($A44,'liste reference'!$A$6:$Q$1174,6,0)),"nu")</f>
        <v>9</v>
      </c>
      <c r="K44" s="526" t="n">
        <f aca="false">IF(ISNUMBER($H44),IF(ISERROR(VLOOKUP($A44,'liste reference'!$A$6:$Q$1174,7,0)),IF(ISERROR(VLOOKUP($A44,'liste reference'!$B$6:$Q$1174,6,0)),"nu",VLOOKUP($A44,'liste reference'!$B$6:$Q$1174,6,0)),VLOOKUP($A44,'liste reference'!$A$6:$Q$1174,7,0)),"nu")</f>
        <v>2</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Potamogeton berchtoldii</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1642</v>
      </c>
      <c r="R44" s="513" t="n">
        <f aca="false">IF(ISTEXT(H44),"",(B44*$B$7/100)+(C44*$C$7/100))</f>
        <v>0.00045</v>
      </c>
      <c r="S44" s="514" t="n">
        <f aca="false">IF(OR(ISTEXT(H44),R44=0),"",IF(R44&lt;0.1,1,IF(R44&lt;1,2,IF(R44&lt;10,3,IF(R44&lt;50,4,IF(R44&gt;=50,5,""))))))</f>
        <v>1</v>
      </c>
      <c r="T44" s="514" t="n">
        <f aca="false">IF(ISERROR(S44*J44),0,S44*J44)</f>
        <v>9</v>
      </c>
      <c r="U44" s="514" t="n">
        <f aca="false">IF(ISERROR(S44*J44*K44),0,S44*J44*K44)</f>
        <v>18</v>
      </c>
      <c r="V44" s="530" t="n">
        <f aca="false">IF(ISERROR(S44*K44),0,S44*K44)</f>
        <v>2</v>
      </c>
      <c r="W44" s="531"/>
      <c r="X44" s="532"/>
      <c r="Y44" s="517" t="str">
        <f aca="false">IF(AND(ISNUMBER(F44),OR(A44="",A44="!!!!!!")),"!!!!!!",IF(A44="new.cod","NEWCOD",IF(AND((Z44=""),ISTEXT(A44),A44&lt;&gt;"!!!!!!"),A44,IF(Z44="","",INDEX('liste reference'!$A$6:$A$1174,Z44)))))</f>
        <v>POTBER</v>
      </c>
      <c r="Z44" s="499" t="n">
        <f aca="false">IF(ISERROR(MATCH(A44,'liste reference'!$A$6:$A$1174,0)),IF(ISERROR(MATCH(A44,'liste reference'!$B$6:$B$1174,0)),"",(MATCH(A44,'liste reference'!$B$6:$B$1174,0))),(MATCH(A44,'liste reference'!$A$6:$A$1174,0)))</f>
        <v>518</v>
      </c>
    </row>
    <row r="45" customFormat="false" ht="12.75" hidden="false" customHeight="false" outlineLevel="0" collapsed="false">
      <c r="A45" s="518" t="s">
        <v>1930</v>
      </c>
      <c r="B45" s="519"/>
      <c r="C45" s="520" t="n">
        <v>0.005</v>
      </c>
      <c r="D45" s="521" t="str">
        <f aca="false">IF(ISERROR(VLOOKUP($A45,'liste reference'!$A$6:$B$1174,2,0)),IF(ISERROR(VLOOKUP($A45,'liste reference'!$B$6:$B$1174,1,0)),"",VLOOKUP($A45,'liste reference'!$B$6:$B$1174,1,0)),VLOOKUP($A45,'liste reference'!$A$6:$B$1174,2,0))</f>
        <v>Agrostis stolonifera</v>
      </c>
      <c r="E45" s="522" t="e">
        <f aca="false">IF(D45="",0,VLOOKUP(D45,D$22:D44,1,0))</f>
        <v>#N/A</v>
      </c>
      <c r="F45" s="523" t="n">
        <f aca="false">IF(AND(OR(A45="",A45="!!!!!!"),B45="",C45=""),"",IF(OR(AND(B45="",C45=""),ISERROR(C45+B45)),"!!!",($B45*$B$7+$C45*$C$7)/100))</f>
        <v>0.00225</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10</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Agrostis stolonifera</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1543</v>
      </c>
      <c r="R45" s="513" t="n">
        <f aca="false">IF(ISTEXT(H45),"",(B45*$B$7/100)+(C45*$C$7/100))</f>
        <v>0.00225</v>
      </c>
      <c r="S45" s="514" t="n">
        <f aca="false">IF(OR(ISTEXT(H45),R45=0),"",IF(R45&lt;0.1,1,IF(R45&lt;1,2,IF(R45&lt;10,3,IF(R45&lt;50,4,IF(R45&gt;=50,5,""))))))</f>
        <v>1</v>
      </c>
      <c r="T45" s="514" t="n">
        <f aca="false">IF(ISERROR(S45*J45),0,S45*J45)</f>
        <v>10</v>
      </c>
      <c r="U45" s="514" t="n">
        <f aca="false">IF(ISERROR(S45*J45*K45),0,S45*J45*K45)</f>
        <v>10</v>
      </c>
      <c r="V45" s="530" t="n">
        <f aca="false">IF(ISERROR(S45*K45),0,S45*K45)</f>
        <v>1</v>
      </c>
      <c r="W45" s="531"/>
      <c r="X45" s="532"/>
      <c r="Y45" s="517" t="str">
        <f aca="false">IF(AND(ISNUMBER(F45),OR(A45="",A45="!!!!!!")),"!!!!!!",IF(A45="new.cod","NEWCOD",IF(AND((Z45=""),ISTEXT(A45),A45&lt;&gt;"!!!!!!"),A45,IF(Z45="","",INDEX('liste reference'!$A$6:$A$1174,Z45)))))</f>
        <v>AGRSTO</v>
      </c>
      <c r="Z45" s="499" t="n">
        <f aca="false">IF(ISERROR(MATCH(A45,'liste reference'!$A$6:$A$1174,0)),IF(ISERROR(MATCH(A45,'liste reference'!$B$6:$B$1174,0)),"",(MATCH(A45,'liste reference'!$B$6:$B$1174,0))),(MATCH(A45,'liste reference'!$A$6:$A$1174,0)))</f>
        <v>623</v>
      </c>
    </row>
    <row r="46" customFormat="false" ht="12.75" hidden="false" customHeight="false" outlineLevel="0" collapsed="false">
      <c r="A46" s="518" t="s">
        <v>1941</v>
      </c>
      <c r="B46" s="519"/>
      <c r="C46" s="520" t="n">
        <v>0.005</v>
      </c>
      <c r="D46" s="521" t="str">
        <f aca="false">IF(ISERROR(VLOOKUP($A46,'liste reference'!$A$6:$B$1174,2,0)),IF(ISERROR(VLOOKUP($A46,'liste reference'!$B$6:$B$1174,1,0)),"",VLOOKUP($A46,'liste reference'!$B$6:$B$1174,1,0)),VLOOKUP($A46,'liste reference'!$A$6:$B$1174,2,0))</f>
        <v>Bolboschoenus maritimus</v>
      </c>
      <c r="E46" s="522" t="e">
        <f aca="false">IF(D46="",0,VLOOKUP(D46,D$22:D45,1,0))</f>
        <v>#N/A</v>
      </c>
      <c r="F46" s="523" t="n">
        <f aca="false">IF(AND(OR(A46="",A46="!!!!!!"),B46="",C46=""),"",IF(OR(AND(B46="",C46=""),ISERROR(C46+B46)),"!!!",($B46*$B$7+$C46*$C$7)/100))</f>
        <v>0.00225</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Bolboschoenus maritimus</v>
      </c>
      <c r="M46" s="527"/>
      <c r="N46" s="527"/>
      <c r="O46" s="527"/>
      <c r="P46" s="528" t="s">
        <v>3442</v>
      </c>
      <c r="Q46" s="529" t="n">
        <f aca="false">IF(OR($A46="NEWCOD",$A46="!!!!!!"),IF(X46="","NoCod",X46),IF($A46="","",IF(ISERROR(VLOOKUP($A46,'liste reference'!$A$6:$H$1174,8,FALSE())),IF(ISERROR(VLOOKUP($A46,'liste reference'!$B$6:$H$1174,7,FALSE())),"",VLOOKUP($A46,'liste reference'!$B$6:$H$1174,7,FALSE())),VLOOKUP($A46,'liste reference'!$A$6:$H$1174,8,FALSE()))))</f>
        <v>19533</v>
      </c>
      <c r="R46" s="513" t="n">
        <f aca="false">IF(ISTEXT(H46),"",(B46*$B$7/100)+(C46*$C$7/100))</f>
        <v>0.00225</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BOLMAR</v>
      </c>
      <c r="Z46" s="499" t="n">
        <f aca="false">IF(ISERROR(MATCH(A46,'liste reference'!$A$6:$A$1174,0)),IF(ISERROR(MATCH(A46,'liste reference'!$B$6:$B$1174,0)),"",(MATCH(A46,'liste reference'!$B$6:$B$1174,0))),(MATCH(A46,'liste reference'!$A$6:$A$1174,0)))</f>
        <v>626</v>
      </c>
    </row>
    <row r="47" customFormat="false" ht="12.75" hidden="false" customHeight="false" outlineLevel="0" collapsed="false">
      <c r="A47" s="518" t="s">
        <v>2130</v>
      </c>
      <c r="B47" s="519" t="n">
        <v>0.005</v>
      </c>
      <c r="C47" s="520"/>
      <c r="D47" s="521" t="str">
        <f aca="false">IF(ISERROR(VLOOKUP($A47,'liste reference'!$A$6:$B$1174,2,0)),IF(ISERROR(VLOOKUP($A47,'liste reference'!$B$6:$B$1174,1,0)),"",VLOOKUP($A47,'liste reference'!$B$6:$B$1174,1,0)),VLOOKUP($A47,'liste reference'!$A$6:$B$1174,2,0))</f>
        <v>Lycopus europaeus</v>
      </c>
      <c r="E47" s="522" t="e">
        <f aca="false">IF(D47="",0,VLOOKUP(D47,D$22:D46,1,0))</f>
        <v>#N/A</v>
      </c>
      <c r="F47" s="523" t="n">
        <f aca="false">IF(AND(OR(A47="",A47="!!!!!!"),B47="",C47=""),"",IF(OR(AND(B47="",C47=""),ISERROR(C47+B47)),"!!!",($B47*$B$7+$C47*$C$7)/100))</f>
        <v>0.00275</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11</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Lycopus europaeus</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1789</v>
      </c>
      <c r="R47" s="513" t="n">
        <f aca="false">IF(ISTEXT(H47),"",(B47*$B$7/100)+(C47*$C$7/100))</f>
        <v>0.00275</v>
      </c>
      <c r="S47" s="514" t="n">
        <f aca="false">IF(OR(ISTEXT(H47),R47=0),"",IF(R47&lt;0.1,1,IF(R47&lt;1,2,IF(R47&lt;10,3,IF(R47&lt;50,4,IF(R47&gt;=50,5,""))))))</f>
        <v>1</v>
      </c>
      <c r="T47" s="514" t="n">
        <f aca="false">IF(ISERROR(S47*J47),0,S47*J47)</f>
        <v>11</v>
      </c>
      <c r="U47" s="514" t="n">
        <f aca="false">IF(ISERROR(S47*J47*K47),0,S47*J47*K47)</f>
        <v>11</v>
      </c>
      <c r="V47" s="530" t="n">
        <f aca="false">IF(ISERROR(S47*K47),0,S47*K47)</f>
        <v>1</v>
      </c>
      <c r="W47" s="531"/>
      <c r="X47" s="532"/>
      <c r="Y47" s="517" t="str">
        <f aca="false">IF(AND(ISNUMBER(F47),OR(A47="",A47="!!!!!!")),"!!!!!!",IF(A47="new.cod","NEWCOD",IF(AND((Z47=""),ISTEXT(A47),A47&lt;&gt;"!!!!!!"),A47,IF(Z47="","",INDEX('liste reference'!$A$6:$A$1174,Z47)))))</f>
        <v>LYCEUR</v>
      </c>
      <c r="Z47" s="499" t="n">
        <f aca="false">IF(ISERROR(MATCH(A47,'liste reference'!$A$6:$A$1174,0)),IF(ISERROR(MATCH(A47,'liste reference'!$B$6:$B$1174,0)),"",(MATCH(A47,'liste reference'!$B$6:$B$1174,0))),(MATCH(A47,'liste reference'!$A$6:$A$1174,0)))</f>
        <v>692</v>
      </c>
    </row>
    <row r="48" customFormat="false" ht="12.75" hidden="false" customHeight="false" outlineLevel="0" collapsed="false">
      <c r="A48" s="518" t="s">
        <v>2134</v>
      </c>
      <c r="B48" s="519" t="n">
        <v>0.005</v>
      </c>
      <c r="C48" s="520" t="n">
        <v>0.005</v>
      </c>
      <c r="D48" s="521" t="str">
        <f aca="false">IF(ISERROR(VLOOKUP($A48,'liste reference'!$A$6:$B$1174,2,0)),IF(ISERROR(VLOOKUP($A48,'liste reference'!$B$6:$B$1174,1,0)),"",VLOOKUP($A48,'liste reference'!$B$6:$B$1174,1,0)),VLOOKUP($A48,'liste reference'!$A$6:$B$1174,2,0))</f>
        <v>Mentha aquatica</v>
      </c>
      <c r="E48" s="522" t="e">
        <f aca="false">IF(D48="",0,VLOOKUP(D48,D$22:D47,1,0))</f>
        <v>#N/A</v>
      </c>
      <c r="F48" s="523" t="n">
        <f aca="false">IF(AND(OR(A48="",A48="!!!!!!"),B48="",C48=""),"",IF(OR(AND(B48="",C48=""),ISERROR(C48+B48)),"!!!",($B48*$B$7+$C48*$C$7)/100))</f>
        <v>0.005</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n">
        <f aca="false">IF(ISNUMBER($H48),IF(ISERROR(VLOOKUP($A48,'liste reference'!$A$6:$Q$1174,6,0)),IF(ISERROR(VLOOKUP($A48,'liste reference'!$B$6:$Q$1174,5,0)),"nu",VLOOKUP($A48,'liste reference'!$B$6:$Q$1174,5,0)),VLOOKUP($A48,'liste reference'!$A$6:$Q$1174,6,0)),"nu")</f>
        <v>12</v>
      </c>
      <c r="K48" s="526" t="n">
        <f aca="false">IF(ISNUMBER($H48),IF(ISERROR(VLOOKUP($A48,'liste reference'!$A$6:$Q$1174,7,0)),IF(ISERROR(VLOOKUP($A48,'liste reference'!$B$6:$Q$1174,6,0)),"nu",VLOOKUP($A48,'liste reference'!$B$6:$Q$1174,6,0)),VLOOKUP($A48,'liste reference'!$A$6:$Q$1174,7,0)),"nu")</f>
        <v>1</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Mentha aquatica</v>
      </c>
      <c r="M48" s="527"/>
      <c r="N48" s="527"/>
      <c r="O48" s="527"/>
      <c r="P48" s="528" t="s">
        <v>3442</v>
      </c>
      <c r="Q48" s="529" t="n">
        <f aca="false">IF(OR($A48="NEWCOD",$A48="!!!!!!"),IF(X48="","NoCod",X48),IF($A48="","",IF(ISERROR(VLOOKUP($A48,'liste reference'!$A$6:$H$1174,8,FALSE())),IF(ISERROR(VLOOKUP($A48,'liste reference'!$B$6:$H$1174,7,FALSE())),"",VLOOKUP($A48,'liste reference'!$B$6:$H$1174,7,FALSE())),VLOOKUP($A48,'liste reference'!$A$6:$H$1174,8,FALSE()))))</f>
        <v>1791</v>
      </c>
      <c r="R48" s="513" t="n">
        <f aca="false">IF(ISTEXT(H48),"",(B48*$B$7/100)+(C48*$C$7/100))</f>
        <v>0.005</v>
      </c>
      <c r="S48" s="514" t="n">
        <f aca="false">IF(OR(ISTEXT(H48),R48=0),"",IF(R48&lt;0.1,1,IF(R48&lt;1,2,IF(R48&lt;10,3,IF(R48&lt;50,4,IF(R48&gt;=50,5,""))))))</f>
        <v>1</v>
      </c>
      <c r="T48" s="514" t="n">
        <f aca="false">IF(ISERROR(S48*J48),0,S48*J48)</f>
        <v>12</v>
      </c>
      <c r="U48" s="514" t="n">
        <f aca="false">IF(ISERROR(S48*J48*K48),0,S48*J48*K48)</f>
        <v>12</v>
      </c>
      <c r="V48" s="530" t="n">
        <f aca="false">IF(ISERROR(S48*K48),0,S48*K48)</f>
        <v>1</v>
      </c>
      <c r="W48" s="531"/>
      <c r="X48" s="532"/>
      <c r="Y48" s="517" t="str">
        <f aca="false">IF(AND(ISNUMBER(F48),OR(A48="",A48="!!!!!!")),"!!!!!!",IF(A48="new.cod","NEWCOD",IF(AND((Z48=""),ISTEXT(A48),A48&lt;&gt;"!!!!!!"),A48,IF(Z48="","",INDEX('liste reference'!$A$6:$A$1174,Z48)))))</f>
        <v>MENAQU</v>
      </c>
      <c r="Z48" s="499" t="n">
        <f aca="false">IF(ISERROR(MATCH(A48,'liste reference'!$A$6:$A$1174,0)),IF(ISERROR(MATCH(A48,'liste reference'!$B$6:$B$1174,0)),"",(MATCH(A48,'liste reference'!$B$6:$B$1174,0))),(MATCH(A48,'liste reference'!$A$6:$A$1174,0)))</f>
        <v>694</v>
      </c>
    </row>
    <row r="49" customFormat="false" ht="12.75" hidden="false" customHeight="false" outlineLevel="0" collapsed="false">
      <c r="A49" s="518" t="s">
        <v>2256</v>
      </c>
      <c r="B49" s="519"/>
      <c r="C49" s="520" t="n">
        <v>0.005</v>
      </c>
      <c r="D49" s="521" t="str">
        <f aca="false">IF(ISERROR(VLOOKUP($A49,'liste reference'!$A$6:$B$1174,2,0)),IF(ISERROR(VLOOKUP($A49,'liste reference'!$B$6:$B$1174,1,0)),"",VLOOKUP($A49,'liste reference'!$B$6:$B$1174,1,0)),VLOOKUP($A49,'liste reference'!$A$6:$B$1174,2,0))</f>
        <v>Typha sp.</v>
      </c>
      <c r="E49" s="522" t="e">
        <f aca="false">IF(D49="",0,VLOOKUP(D49,D$22:D48,1,0))</f>
        <v>#N/A</v>
      </c>
      <c r="F49" s="523" t="n">
        <f aca="false">IF(AND(OR(A49="",A49="!!!!!!"),B49="",C49=""),"",IF(OR(AND(B49="",C49=""),ISERROR(C49+B49)),"!!!",($B49*$B$7+$C49*$C$7)/100))</f>
        <v>0.00225</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Typha sp.</v>
      </c>
      <c r="M49" s="527"/>
      <c r="N49" s="527"/>
      <c r="O49" s="527"/>
      <c r="P49" s="528" t="s">
        <v>3442</v>
      </c>
      <c r="Q49" s="529" t="n">
        <f aca="false">IF(OR($A49="NEWCOD",$A49="!!!!!!"),IF(X49="","NoCod",X49),IF($A49="","",IF(ISERROR(VLOOKUP($A49,'liste reference'!$A$6:$H$1174,8,FALSE())),IF(ISERROR(VLOOKUP($A49,'liste reference'!$B$6:$H$1174,7,FALSE())),"",VLOOKUP($A49,'liste reference'!$B$6:$H$1174,7,FALSE())),VLOOKUP($A49,'liste reference'!$A$6:$H$1174,8,FALSE()))))</f>
        <v>1674</v>
      </c>
      <c r="R49" s="513" t="n">
        <f aca="false">IF(ISTEXT(H49),"",(B49*$B$7/100)+(C49*$C$7/100))</f>
        <v>0.00225</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TYPSPX</v>
      </c>
      <c r="Z49" s="499" t="n">
        <f aca="false">IF(ISERROR(MATCH(A49,'liste reference'!$A$6:$A$1174,0)),IF(ISERROR(MATCH(A49,'liste reference'!$B$6:$B$1174,0)),"",(MATCH(A49,'liste reference'!$B$6:$B$1174,0))),(MATCH(A49,'liste reference'!$A$6:$A$1174,0)))</f>
        <v>739</v>
      </c>
    </row>
    <row r="50" customFormat="false" ht="12.75" hidden="false" customHeight="false" outlineLevel="0" collapsed="false">
      <c r="A50" s="518" t="s">
        <v>2477</v>
      </c>
      <c r="B50" s="519"/>
      <c r="C50" s="520" t="n">
        <v>0.005</v>
      </c>
      <c r="D50" s="521" t="str">
        <f aca="false">IF(ISERROR(VLOOKUP($A50,'liste reference'!$A$6:$B$1174,2,0)),IF(ISERROR(VLOOKUP($A50,'liste reference'!$B$6:$B$1174,1,0)),"",VLOOKUP($A50,'liste reference'!$B$6:$B$1174,1,0)),VLOOKUP($A50,'liste reference'!$A$6:$B$1174,2,0))</f>
        <v>Cyperus longus</v>
      </c>
      <c r="E50" s="522" t="e">
        <f aca="false">IF(D50="",0,VLOOKUP(D50,D$22:D49,1,0))</f>
        <v>#N/A</v>
      </c>
      <c r="F50" s="523" t="n">
        <f aca="false">IF(AND(OR(A50="",A50="!!!!!!"),B50="",C50=""),"",IF(OR(AND(B50="",C50=""),ISERROR(C50+B50)),"!!!",($B50*$B$7+$C50*$C$7)/100))</f>
        <v>0.00225</v>
      </c>
      <c r="G50" s="524" t="str">
        <f aca="false">IF(A50="","",IF(ISERROR(VLOOKUP($A50,'liste reference'!$A$6:$Q$1174,9,0)),IF(ISERROR(VLOOKUP($A50,'liste reference'!$B$6:$Q$1174,8,0)),"    -",VLOOKUP($A50,'liste reference'!$B$6:$Q$1174,8,0)),VLOOKUP($A50,'liste reference'!$A$6:$Q$1174,9,0)))</f>
        <v>PHg</v>
      </c>
      <c r="H50" s="525" t="n">
        <f aca="false">IF(A50="","x",IF(ISERROR(VLOOKUP($A50,'liste reference'!$A$6:$Q$1174,10,0)),IF(ISERROR(VLOOKUP($A50,'liste reference'!$B$6:$Q$1174,9,0)),"x",VLOOKUP($A50,'liste reference'!$B$6:$Q$1174,9,0)),VLOOKUP($A50,'liste reference'!$A$6:$Q$1174,10,0)))</f>
        <v>9</v>
      </c>
      <c r="I50" s="309" t="n">
        <f aca="false">IF(A50="","",1)</f>
        <v>1</v>
      </c>
      <c r="J50" s="526" t="str">
        <f aca="false">IF(ISNUMBER($H50),IF(ISERROR(VLOOKUP($A50,'liste reference'!$A$6:$Q$1174,6,0)),IF(ISERROR(VLOOKUP($A50,'liste reference'!$B$6:$Q$1174,5,0)),"nu",VLOOKUP($A50,'liste reference'!$B$6:$Q$1174,5,0)),VLOOKUP($A50,'liste reference'!$A$6:$Q$1174,6,0)),"nu")</f>
        <v>nc</v>
      </c>
      <c r="K50" s="526" t="str">
        <f aca="false">IF(ISNUMBER($H50),IF(ISERROR(VLOOKUP($A50,'liste reference'!$A$6:$Q$1174,7,0)),IF(ISERROR(VLOOKUP($A50,'liste reference'!$B$6:$Q$1174,6,0)),"nu",VLOOKUP($A50,'liste reference'!$B$6:$Q$1174,6,0)),VLOOKUP($A50,'liste reference'!$A$6:$Q$1174,7,0)),"nu")</f>
        <v>nc</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Cyperus longus</v>
      </c>
      <c r="M50" s="527"/>
      <c r="N50" s="527"/>
      <c r="O50" s="527"/>
      <c r="P50" s="528" t="s">
        <v>3442</v>
      </c>
      <c r="Q50" s="529" t="n">
        <f aca="false">IF(OR($A50="NEWCOD",$A50="!!!!!!"),IF(X50="","NoCod",X50),IF($A50="","",IF(ISERROR(VLOOKUP($A50,'liste reference'!$A$6:$H$1174,8,FALSE())),IF(ISERROR(VLOOKUP($A50,'liste reference'!$B$6:$H$1174,7,FALSE())),"",VLOOKUP($A50,'liste reference'!$B$6:$H$1174,7,FALSE())),VLOOKUP($A50,'liste reference'!$A$6:$H$1174,8,FALSE()))))</f>
        <v>1500</v>
      </c>
      <c r="R50" s="513" t="n">
        <f aca="false">IF(ISTEXT(H50),"",(B50*$B$7/100)+(C50*$C$7/100))</f>
        <v>0.00225</v>
      </c>
      <c r="S50" s="514" t="n">
        <f aca="false">IF(OR(ISTEXT(H50),R50=0),"",IF(R50&lt;0.1,1,IF(R50&lt;1,2,IF(R50&lt;10,3,IF(R50&lt;50,4,IF(R50&gt;=50,5,""))))))</f>
        <v>1</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CYPLON</v>
      </c>
      <c r="Z50" s="499" t="n">
        <f aca="false">IF(ISERROR(MATCH(A50,'liste reference'!$A$6:$A$1174,0)),IF(ISERROR(MATCH(A50,'liste reference'!$B$6:$B$1174,0)),"",(MATCH(A50,'liste reference'!$B$6:$B$1174,0))),(MATCH(A50,'liste reference'!$A$6:$A$1174,0)))</f>
        <v>825</v>
      </c>
    </row>
    <row r="51" customFormat="false" ht="12.75" hidden="false" customHeight="false" outlineLevel="0" collapsed="false">
      <c r="A51" s="518" t="s">
        <v>2756</v>
      </c>
      <c r="B51" s="519"/>
      <c r="C51" s="520" t="n">
        <v>0.005</v>
      </c>
      <c r="D51" s="521" t="str">
        <f aca="false">IF(ISERROR(VLOOKUP($A51,'liste reference'!$A$6:$B$1174,2,0)),IF(ISERROR(VLOOKUP($A51,'liste reference'!$B$6:$B$1174,1,0)),"",VLOOKUP($A51,'liste reference'!$B$6:$B$1174,1,0)),VLOOKUP($A51,'liste reference'!$A$6:$B$1174,2,0))</f>
        <v>Paspalum distichum</v>
      </c>
      <c r="E51" s="522" t="e">
        <f aca="false">IF(D51="",0,VLOOKUP(D51,D$22:D50,1,0))</f>
        <v>#N/A</v>
      </c>
      <c r="F51" s="523" t="n">
        <f aca="false">IF(AND(OR(A51="",A51="!!!!!!"),B51="",C51=""),"",IF(OR(AND(B51="",C51=""),ISERROR(C51+B51)),"!!!",($B51*$B$7+$C51*$C$7)/100))</f>
        <v>0.00225</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Paspalum distichum</v>
      </c>
      <c r="M51" s="527"/>
      <c r="N51" s="527"/>
      <c r="O51" s="527"/>
      <c r="P51" s="528" t="s">
        <v>3442</v>
      </c>
      <c r="Q51" s="529" t="n">
        <f aca="false">IF(OR($A51="NEWCOD",$A51="!!!!!!"),IF(X51="","NoCod",X51),IF($A51="","",IF(ISERROR(VLOOKUP($A51,'liste reference'!$A$6:$H$1174,8,FALSE())),IF(ISERROR(VLOOKUP($A51,'liste reference'!$B$6:$H$1174,7,FALSE())),"",VLOOKUP($A51,'liste reference'!$B$6:$H$1174,7,FALSE())),VLOOKUP($A51,'liste reference'!$A$6:$H$1174,8,FALSE()))))</f>
        <v>10237</v>
      </c>
      <c r="R51" s="513" t="n">
        <f aca="false">IF(ISTEXT(H51),"",(B51*$B$7/100)+(C51*$C$7/100))</f>
        <v>0.00225</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PASDIS</v>
      </c>
      <c r="Z51" s="499" t="n">
        <f aca="false">IF(ISERROR(MATCH(A51,'liste reference'!$A$6:$A$1174,0)),IF(ISERROR(MATCH(A51,'liste reference'!$B$6:$B$1174,0)),"",(MATCH(A51,'liste reference'!$B$6:$B$1174,0))),(MATCH(A51,'liste reference'!$A$6:$A$1174,0)))</f>
        <v>922</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1.45915</v>
      </c>
      <c r="G83" s="452"/>
      <c r="H83" s="452"/>
      <c r="I83" s="452"/>
      <c r="J83" s="452"/>
      <c r="K83" s="452"/>
      <c r="L83" s="452"/>
      <c r="M83" s="514"/>
      <c r="N83" s="514"/>
      <c r="O83" s="514"/>
      <c r="P83" s="514"/>
      <c r="Q83" s="514"/>
      <c r="R83" s="514"/>
      <c r="S83" s="514"/>
      <c r="T83" s="514"/>
      <c r="U83" s="514"/>
      <c r="V83" s="514" t="n">
        <f aca="false">SUM(V23:V82)</f>
        <v>38</v>
      </c>
      <c r="W83" s="514"/>
      <c r="X83" s="552"/>
      <c r="Y83" s="552"/>
      <c r="Z83" s="553"/>
    </row>
    <row r="84" customFormat="false" ht="12.75" hidden="true" customHeight="false" outlineLevel="0" collapsed="false">
      <c r="A84" s="547" t="str">
        <f aca="false">A3</f>
        <v>GOLO</v>
      </c>
      <c r="B84" s="481" t="str">
        <f aca="false">C3</f>
        <v>Campile</v>
      </c>
      <c r="C84" s="554" t="str">
        <f aca="false">A4</f>
        <v>(Date)</v>
      </c>
      <c r="D84" s="555" t="n">
        <f aca="false">IF(OR(ISERROR(SUM($U$23:$U$82)/SUM($V$23:$V$82)),F7&lt;&gt;100),-1,SUM($U$23:$U$82)/SUM($V$23:$V$82))</f>
        <v>11.6315789473684</v>
      </c>
      <c r="E84" s="556" t="n">
        <f aca="false">O13</f>
        <v>29</v>
      </c>
      <c r="F84" s="481" t="n">
        <f aca="false">O14</f>
        <v>20</v>
      </c>
      <c r="G84" s="481" t="n">
        <f aca="false">O15</f>
        <v>8</v>
      </c>
      <c r="H84" s="481" t="n">
        <f aca="false">O16</f>
        <v>10</v>
      </c>
      <c r="I84" s="481" t="n">
        <f aca="false">O17</f>
        <v>2</v>
      </c>
      <c r="J84" s="557" t="n">
        <f aca="false">O8</f>
        <v>11.3</v>
      </c>
      <c r="K84" s="558" t="n">
        <f aca="false">O9</f>
        <v>2.96816441593117</v>
      </c>
      <c r="L84" s="559" t="n">
        <f aca="false">O10</f>
        <v>5</v>
      </c>
      <c r="M84" s="559" t="n">
        <f aca="false">O11</f>
        <v>16</v>
      </c>
      <c r="N84" s="558" t="n">
        <f aca="false">P8</f>
        <v>1.7</v>
      </c>
      <c r="O84" s="558" t="n">
        <f aca="false">P9</f>
        <v>0.640312423743285</v>
      </c>
      <c r="P84" s="559" t="n">
        <f aca="false">P10</f>
        <v>1</v>
      </c>
      <c r="Q84" s="559" t="n">
        <f aca="false">P11</f>
        <v>3</v>
      </c>
      <c r="R84" s="559" t="n">
        <f aca="false">F21</f>
        <v>1.45915</v>
      </c>
      <c r="S84" s="559" t="n">
        <f aca="false">L11</f>
        <v>0</v>
      </c>
      <c r="T84" s="559" t="n">
        <f aca="false">L12</f>
        <v>9</v>
      </c>
      <c r="U84" s="559" t="n">
        <f aca="false">L13</f>
        <v>7</v>
      </c>
      <c r="V84" s="560" t="n">
        <f aca="false">L15</f>
        <v>10</v>
      </c>
      <c r="W84" s="561" t="n">
        <f aca="false">L15</f>
        <v>10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30</v>
      </c>
      <c r="U87" s="309"/>
      <c r="V87" s="309"/>
    </row>
    <row r="88" customFormat="false" ht="12.75" hidden="true" customHeight="false" outlineLevel="0" collapsed="false">
      <c r="C88" s="563"/>
      <c r="D88" s="563"/>
      <c r="E88" s="563"/>
      <c r="R88" s="309" t="s">
        <v>3445</v>
      </c>
      <c r="S88" s="309"/>
      <c r="T88" s="565" t="n">
        <f aca="false">VLOOKUP($T$91,($A$23:$U$82),21,FALSE())</f>
        <v>60</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11.2352941176471</v>
      </c>
      <c r="U90" s="309" t="n">
        <f aca="false">IF(ISERROR(T90),0,1)</f>
        <v>1</v>
      </c>
    </row>
    <row r="91" customFormat="false" ht="12.75" hidden="true" customHeight="false" outlineLevel="0" collapsed="false">
      <c r="C91" s="563"/>
      <c r="D91" s="563"/>
      <c r="E91" s="563"/>
      <c r="R91" s="514" t="s">
        <v>3449</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3450</v>
      </c>
      <c r="S92" s="309"/>
      <c r="T92" s="309" t="n">
        <f aca="false">MATCH(T89,$V$23:$V$82,0)</f>
        <v>4</v>
      </c>
      <c r="U92" s="309"/>
    </row>
    <row r="93" customFormat="false" ht="12.75" hidden="true" customHeight="false" outlineLevel="0" collapsed="false">
      <c r="C93" s="563"/>
      <c r="D93" s="563"/>
      <c r="E93" s="563"/>
      <c r="R93" s="514" t="s">
        <v>3451</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2016-04-13T14:08:29Z</dcterms:modified>
  <cp:revision>0</cp:revision>
  <dc:subject/>
  <dc:title>Feuille d'aide au calcul de l'IBMR</dc:title>
</cp:coreProperties>
</file>