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3650" sheetId="6" state="visible" r:id="rId8"/>
    <sheet name="jgjg" sheetId="7" state="hidden" r:id="rId9"/>
    <sheet name="liste codes réf" sheetId="8" state="hidden" r:id="rId10"/>
  </sheets>
  <definedNames>
    <definedName function="false" hidden="false" localSheetId="5" name="_xlnm.Print_Area" vbProcedure="false">'06153650'!$A$1:$Q$82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'06153650'!$A$1:$Q$82</definedName>
    <definedName function="false" hidden="false" localSheetId="5" name="_xlnm__FilterDatabase" vbProcedure="false">'06153650'!$A$1:$C$1415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<sst xmlns="http://schemas.openxmlformats.org/spreadsheetml/2006/main" count="8827" uniqueCount="3497">
  <si>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</si>
  <si>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</si>
  <si>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</si>
  <si>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</si>
  <si>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</si>
  <si>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</si>
  <si>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</si>
  <si>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</si>
  <si>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</si>
  <si>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</si>
  <si>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</si>
  <si>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</si>
  <si>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</si>
  <si>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</si>
  <si>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</si>
  <si>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</si>
  <si>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</si>
  <si>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</si>
  <si>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</si>
  <si>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</si>
  <si>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</si>
  <si>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</si>
  <si>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</si>
  <si>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</si>
  <si>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</si>
  <si>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</si>
  <si>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</si>
  <si>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</si>
  <si>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</si>
  <si>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</si>
  <si>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</si>
  <si>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</si>
  <si>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</si>
  <si>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</si>
  <si>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</si>
  <si>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</si>
  <si>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</si>
  <si>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</si>
  <si>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</si>
  <si>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</si>
  <si>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</si>
  <si>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</si>
  <si>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</si>
  <si>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</si>
  <si>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</si>
  <si>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</si>
  <si>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</si>
  <si>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</si>
  <si>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</si>
  <si>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</si>
  <si>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</si>
  <si>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</si>
  <si>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</si>
  <si>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</si>
  <si>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</si>
  <si>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</si>
  <si>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</si>
  <si>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</si>
  <si>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</si>
  <si>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</si>
  <si>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</si>
  <si>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</si>
  <si>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</si>
  <si>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</si>
  <si>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</si>
  <si>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</si>
  <si>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</si>
  <si>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</si>
  <si>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</si>
  <si>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</si>
  <si>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</si>
  <si>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</si>
  <si>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</si>
  <si>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</si>
  <si>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</si>
  <si>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</si>
  <si>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</si>
  <si>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</si>
  <si>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</si>
  <si>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</si>
  <si>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</si>
  <si>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</si>
  <si>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</si>
  <si>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</si>
  <si>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</si>
  <si>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</si>
  <si>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</si>
  <si>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</si>
  <si>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</si>
  <si>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</si>
  <si>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</si>
  <si>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</si>
  <si>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</si>
  <si>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</si>
  <si>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</si>
  <si>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</si>
  <si>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</si>
  <si>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</si>
  <si>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</si>
  <si>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</si>
  <si>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</si>
  <si>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</si>
  <si>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</si>
  <si>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</si>
  <si>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</si>
  <si>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</si>
  <si>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</si>
  <si>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</si>
  <si>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</si>
  <si>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</si>
  <si>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</si>
  <si>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</si>
  <si>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</si>
  <si>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</si>
  <si>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</si>
  <si>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</si>
  <si>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</si>
  <si>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</si>
  <si>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</si>
  <si>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</si>
  <si>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</si>
  <si>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</si>
  <si>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</si>
  <si>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</si>
  <si>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</si>
  <si>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</si>
  <si>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</si>
  <si>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</si>
  <si>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</si>
  <si>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</si>
  <si>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</si>
  <si>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</si>
  <si>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</si>
  <si>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</si>
  <si>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</si>
  <si>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</si>
  <si>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</si>
  <si>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</si>
  <si>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</si>
  <si>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</si>
  <si>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</si>
  <si>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</si>
  <si>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</si>
  <si>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</si>
  <si>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</si>
  <si>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</si>
  <si>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</si>
  <si>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</si>
  <si>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</si>
  <si>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</si>
  <si>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</si>
  <si>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</si>
  <si>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</si>
  <si>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</si>
  <si>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</si>
  <si>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</si>
  <si>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</si>
  <si>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</si>
  <si>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</si>
  <si>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</si>
  <si>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</si>
  <si>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</si>
  <si>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</si>
  <si>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</si>
  <si>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</si>
  <si>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</si>
  <si>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</si>
  <si>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</si>
  <si>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</si>
  <si>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</si>
  <si>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</si>
  <si>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</si>
  <si>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</si>
  <si>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</si>
  <si>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</si>
  <si>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</si>
  <si>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</si>
  <si>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</si>
  <si>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</si>
  <si>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</si>
  <si>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</si>
  <si>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</si>
  <si>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</si>
  <si>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</si>
  <si>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</si>
  <si>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</si>
  <si>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</si>
  <si>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</si>
  <si>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</si>
  <si>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</si>
  <si>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</si>
  <si>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</si>
  <si>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</si>
  <si>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</si>
  <si>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</si>
  <si>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</si>
  <si>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</si>
  <si>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</si>
  <si>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</si>
  <si>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</si>
  <si>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</si>
  <si>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</si>
  <si>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</si>
  <si>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</si>
  <si>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</si>
  <si>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</si>
  <si>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</si>
  <si>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</si>
  <si>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</si>
  <si>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</si>
  <si>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</si>
  <si>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</si>
  <si>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</si>
  <si>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</si>
  <si>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</si>
  <si>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</si>
  <si>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</si>
  <si>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</si>
  <si>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</si>
  <si>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</si>
  <si>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</si>
  <si>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</si>
  <si>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</si>
  <si>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</si>
  <si>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</si>
  <si>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</si>
  <si>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</si>
  <si>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</si>
  <si>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</si>
  <si>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</si>
  <si>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</si>
  <si>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</si>
  <si>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</si>
  <si>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</si>
  <si>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</si>
  <si>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</si>
  <si>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</si>
  <si>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</si>
  <si>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</si>
  <si>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</si>
  <si>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</si>
  <si>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</si>
  <si>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</si>
  <si>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</si>
  <si>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</si>
  <si>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</si>
  <si>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</si>
  <si>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</si>
  <si>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</si>
  <si>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</si>
  <si>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</si>
  <si>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</si>
  <si>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</si>
  <si>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</si>
  <si>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</si>
  <si>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</si>
  <si>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</si>
  <si>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</si>
  <si>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</si>
  <si>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</si>
  <si>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</si>
  <si>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</si>
  <si>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</si>
  <si>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</si>
  <si>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</si>
  <si>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</si>
  <si>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</si>
  <si>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</si>
  <si>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</si>
  <si>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</si>
  <si>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</si>
  <si>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</si>
  <si>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</si>
  <si>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</si>
  <si>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</si>
  <si>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</si>
  <si>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</si>
  <si>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</si>
  <si>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</si>
  <si>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</si>
  <si>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</si>
  <si>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</si>
  <si>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</si>
  <si>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</si>
  <si>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</si>
  <si>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</si>
  <si>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</si>
  <si>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</si>
  <si>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</si>
  <si>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</si>
  <si>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</si>
  <si>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</si>
  <si>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</si>
  <si>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</si>
  <si>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</si>
  <si>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</si>
  <si>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</si>
  <si>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</si>
  <si>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</si>
  <si>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</si>
  <si>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</si>
  <si>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</si>
  <si>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</si>
  <si>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</si>
  <si>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</si>
  <si>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</si>
  <si>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</si>
  <si>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</si>
  <si>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</si>
  <si>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</si>
  <si>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</si>
  <si>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</si>
  <si>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</si>
  <si>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</si>
  <si>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</si>
  <si>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</si>
  <si>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</si>
  <si>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</si>
  <si>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</si>
  <si>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</si>
  <si>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</si>
  <si>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</si>
  <si>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</si>
  <si>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</si>
  <si>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</si>
  <si>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</si>
  <si>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</si>
  <si>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</si>
  <si>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</si>
  <si>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</si>
  <si>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</si>
  <si>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</si>
  <si>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</si>
  <si>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</si>
  <si>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</si>
  <si>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</si>
  <si>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</si>
  <si>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</si>
  <si>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</si>
  <si>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</si>
  <si>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</si>
  <si>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</si>
  <si>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</si>
  <si>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</si>
  <si>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</si>
  <si>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</si>
  <si>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</si>
  <si>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</si>
  <si>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</si>
  <si>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</si>
  <si>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</si>
  <si>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</si>
  <si>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</si>
  <si>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</si>
  <si>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</si>
  <si>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</si>
  <si>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</si>
  <si>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</si>
  <si>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</si>
  <si>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</si>
  <si>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</si>
  <si>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</si>
  <si>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</si>
  <si>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</si>
  <si>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</si>
  <si>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</si>
  <si>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</si>
  <si>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</si>
  <si>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</si>
  <si>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</si>
  <si>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</si>
  <si>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</si>
  <si>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</si>
  <si>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</si>
  <si>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</si>
  <si>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</si>
  <si>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</si>
  <si>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</si>
  <si>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</si>
  <si>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</si>
  <si>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</si>
  <si>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</si>
  <si>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</si>
  <si>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</si>
  <si>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</si>
  <si>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</si>
  <si>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</si>
  <si>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</si>
  <si>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</si>
  <si>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</si>
  <si>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</si>
  <si>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</si>
  <si>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</si>
  <si>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</si>
  <si>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</si>
  <si>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</si>
  <si>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</si>
  <si>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</si>
  <si>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</si>
  <si>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</si>
  <si>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</si>
  <si>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</si>
  <si>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</si>
  <si>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</si>
  <si>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</si>
  <si>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</si>
  <si>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</si>
  <si>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</si>
  <si>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</si>
  <si>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</si>
  <si>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</si>
  <si>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</si>
  <si>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</si>
  <si>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</si>
  <si>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</si>
  <si>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</si>
  <si>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</si>
  <si>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</si>
  <si>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</si>
  <si>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</si>
  <si>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</si>
  <si>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</si>
  <si>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</si>
  <si>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</si>
  <si>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</si>
  <si>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</si>
  <si>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</si>
  <si>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</si>
  <si>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</si>
  <si>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</si>
  <si>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</si>
  <si>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</si>
  <si>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</si>
  <si>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</si>
  <si>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</si>
  <si>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</si>
  <si>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</si>
  <si>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</si>
  <si>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</si>
  <si>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</si>
  <si>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</si>
  <si>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</si>
  <si>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</si>
  <si>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</si>
  <si>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</si>
  <si>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</si>
  <si>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</si>
  <si>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</si>
  <si>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</si>
  <si>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</si>
  <si>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</si>
  <si>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</si>
  <si>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</si>
  <si>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</si>
  <si>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</si>
  <si>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</si>
  <si>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</si>
  <si>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</si>
  <si>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</si>
  <si>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</si>
  <si>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</si>
  <si>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</si>
  <si>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</si>
  <si>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</si>
  <si>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</si>
  <si>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</si>
  <si>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</si>
  <si>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</si>
  <si>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</si>
  <si>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</si>
  <si>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</si>
  <si>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</si>
  <si>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</si>
  <si>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</si>
  <si>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</si>
  <si>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</si>
  <si>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</si>
  <si>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</si>
  <si>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</si>
  <si>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</si>
  <si>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</si>
  <si>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</si>
  <si>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</si>
  <si>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</si>
  <si>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</si>
  <si>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</si>
  <si>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</si>
  <si>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</si>
  <si>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</si>
  <si>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</si>
  <si>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</si>
  <si>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</si>
  <si>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</si>
  <si>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</si>
  <si>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</si>
  <si>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</si>
  <si>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</si>
  <si>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</si>
  <si>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</si>
  <si>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</si>
  <si>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</si>
  <si>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</si>
  <si>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</si>
  <si>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</si>
  <si>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</si>
  <si>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</si>
  <si>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</si>
  <si>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</si>
  <si>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</si>
  <si>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</si>
  <si>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</si>
  <si>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</si>
  <si>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</si>
  <si>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</si>
  <si>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</si>
  <si>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</si>
  <si>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</si>
  <si>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</si>
  <si>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</si>
  <si>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</si>
  <si>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</si>
  <si>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</si>
  <si>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</si>
  <si>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</si>
  <si>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</si>
  <si>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</si>
  <si>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</si>
  <si>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</si>
  <si>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</si>
  <si>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</si>
  <si>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</si>
  <si>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</si>
  <si>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</si>
  <si>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</si>
  <si>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</si>
  <si>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</si>
  <si>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</si>
  <si>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</si>
  <si>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</si>
  <si>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</si>
  <si>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</si>
  <si>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</si>
  <si>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</si>
  <si>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</si>
  <si>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</si>
  <si>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</si>
  <si>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</si>
  <si>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</si>
  <si>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</si>
  <si>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</si>
  <si>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</si>
  <si>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</si>
  <si>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</si>
  <si>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</si>
  <si>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</si>
  <si>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</si>
  <si>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</si>
  <si>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</si>
  <si>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</si>
  <si>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</si>
  <si>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</si>
  <si>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</si>
  <si>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</si>
  <si>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</si>
  <si>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</si>
  <si>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</si>
  <si>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</si>
  <si>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</si>
  <si>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</si>
  <si>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</si>
  <si>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</si>
  <si>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</si>
  <si>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</si>
  <si>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</si>
  <si>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</si>
  <si>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</si>
  <si>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</si>
  <si>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</si>
  <si>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</si>
  <si>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</si>
  <si>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</si>
  <si>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</si>
  <si>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</si>
  <si>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</si>
  <si>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</si>
  <si>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</si>
  <si>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</si>
  <si>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</si>
  <si>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</si>
  <si>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</si>
  <si>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</si>
  <si>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</si>
  <si>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</si>
  <si>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</si>
  <si>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</si>
  <si>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</si>
  <si>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</si>
  <si>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</si>
  <si>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</si>
  <si>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</si>
  <si>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</si>
  <si>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</si>
  <si>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</si>
  <si>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</si>
  <si>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</si>
  <si>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</si>
  <si>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</si>
  <si>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</si>
  <si>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</si>
  <si>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</si>
  <si>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</si>
  <si>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</si>
  <si>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</si>
  <si>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</si>
  <si>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</si>
  <si>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</si>
  <si>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</si>
  <si>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</si>
  <si>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</si>
  <si>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</si>
  <si>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</si>
  <si>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</si>
  <si>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</si>
  <si>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</si>
  <si>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</si>
  <si>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</si>
  <si>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</si>
  <si>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</si>
  <si>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</si>
  <si>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</si>
  <si>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</si>
  <si>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</si>
  <si>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</si>
  <si>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</si>
  <si>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</si>
  <si>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</si>
  <si>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</si>
  <si>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</si>
  <si>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</si>
  <si>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</si>
  <si>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</si>
  <si>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</si>
  <si>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</si>
  <si>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</si>
  <si>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</si>
  <si>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</si>
  <si>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</si>
  <si>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</si>
  <si>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</si>
  <si>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</si>
  <si>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</si>
  <si>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</si>
  <si>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</si>
  <si>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</si>
  <si>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</si>
  <si>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</si>
  <si>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</si>
  <si>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</si>
  <si>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</si>
  <si>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</si>
  <si>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</si>
  <si>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</si>
  <si>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</si>
  <si>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</si>
  <si>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</si>
  <si>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</si>
  <si>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</si>
  <si>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</si>
  <si>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</si>
  <si>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</si>
  <si>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</si>
  <si>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</si>
  <si>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</si>
  <si>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</si>
  <si>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</si>
  <si>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</si>
  <si>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</si>
  <si>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</si>
  <si>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</si>
  <si>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</si>
  <si>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</si>
  <si>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</si>
  <si>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</si>
  <si>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</si>
  <si>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</si>
  <si>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</si>
  <si>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</si>
  <si>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</si>
  <si>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</si>
  <si>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</si>
  <si>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</si>
  <si>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</si>
  <si>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</si>
  <si>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</si>
  <si>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</si>
  <si>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</si>
  <si>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</si>
  <si>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</si>
  <si>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</si>
  <si>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</si>
  <si>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</si>
  <si>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</si>
  <si>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</si>
  <si>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</si>
  <si>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</si>
  <si>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</si>
  <si>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</si>
  <si>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</si>
  <si>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</si>
  <si>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</si>
  <si>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</si>
  <si>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</si>
  <si>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</si>
  <si>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</si>
  <si>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</si>
  <si>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</si>
  <si>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</si>
  <si>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</si>
  <si>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</si>
  <si>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</si>
  <si>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</si>
  <si>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</si>
  <si>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</si>
  <si>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</si>
  <si>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</si>
  <si>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</si>
  <si>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</si>
  <si>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</si>
  <si>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</si>
  <si>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</si>
  <si>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</si>
  <si>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</si>
  <si>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</si>
  <si>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</si>
  <si>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</si>
  <si>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</si>
  <si>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</si>
  <si>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</si>
  <si>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</si>
  <si>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</si>
  <si>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</si>
  <si>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</si>
  <si>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</si>
  <si>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</si>
  <si>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</si>
  <si>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</si>
  <si>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</si>
  <si>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</si>
  <si>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</si>
  <si>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</si>
  <si>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</si>
  <si>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</si>
  <si>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</si>
  <si>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</si>
  <si>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</si>
  <si>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</si>
  <si>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</si>
  <si>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</si>
  <si>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</si>
  <si>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</si>
  <si>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</si>
  <si>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</si>
  <si>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</si>
  <si>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</si>
  <si>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</si>
  <si>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</si>
  <si>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</si>
  <si>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</si>
  <si>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</si>
  <si>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</si>
  <si>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</si>
  <si>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</si>
  <si>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</si>
  <si>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</si>
  <si>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</si>
  <si>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</si>
  <si>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</si>
  <si>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</si>
  <si>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</si>
  <si>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</si>
  <si>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</si>
  <si>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</si>
  <si>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</si>
  <si>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</si>
  <si>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</si>
  <si>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</si>
  <si>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</si>
  <si>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</si>
  <si>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</si>
  <si>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</si>
  <si>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</si>
  <si>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</si>
  <si>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</si>
  <si>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</si>
  <si>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</si>
  <si>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</si>
  <si>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</si>
  <si>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</si>
  <si>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</si>
  <si>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</si>
  <si>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</si>
  <si>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</si>
  <si>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</si>
  <si>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</si>
  <si>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</si>
  <si>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</si>
  <si>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</si>
  <si>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</si>
  <si>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</si>
  <si>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</si>
  <si>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</si>
  <si>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</si>
  <si>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</si>
  <si>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</si>
  <si>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</si>
  <si>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</si>
  <si>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</si>
  <si>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</si>
  <si>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</si>
  <si>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</si>
  <si>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</si>
  <si>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</si>
  <si>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</si>
  <si>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</si>
  <si>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</si>
  <si>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</si>
  <si>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</si>
  <si>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</si>
  <si>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</si>
  <si>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</si>
  <si>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</si>
  <si>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</si>
  <si>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</si>
  <si>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</si>
  <si>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</si>
  <si>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</si>
  <si>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</si>
  <si>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</si>
  <si>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</si>
  <si>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</si>
  <si>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</si>
  <si>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</si>
  <si>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</si>
  <si>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</si>
  <si>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</si>
  <si>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</si>
  <si>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</si>
  <si>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</si>
  <si>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</si>
  <si>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</si>
  <si>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</si>
  <si>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</si>
  <si>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</si>
  <si>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</si>
  <si>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</si>
  <si>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</si>
  <si>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</si>
  <si>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</si>
  <si>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</si>
  <si>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</si>
  <si>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</si>
  <si>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</si>
  <si>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</si>
  <si>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</si>
  <si>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</si>
  <si>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</si>
  <si>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</si>
  <si>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</si>
  <si>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</si>
  <si>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</si>
  <si>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</si>
  <si>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</si>
  <si>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</si>
  <si>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</si>
  <si>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</si>
  <si>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</si>
  <si>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</si>
  <si>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</si>
  <si>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</si>
  <si>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</si>
  <si>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</si>
  <si>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</si>
  <si>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</si>
  <si>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</si>
  <si>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</si>
  <si>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</si>
  <si>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</si>
  <si>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</si>
  <si>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</si>
  <si>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</si>
  <si>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</si>
  <si>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</si>
  <si>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</si>
  <si>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</si>
  <si>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</si>
  <si>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</si>
  <si>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</si>
  <si>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</si>
  <si>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</si>
  <si>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</si>
  <si>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</si>
  <si>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</si>
  <si>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</si>
  <si>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</si>
  <si>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</si>
  <si>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</si>
  <si>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</si>
  <si>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</si>
  <si>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</si>
  <si>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</si>
  <si>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</si>
  <si>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</si>
  <si>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</si>
  <si>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</si>
  <si>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</si>
  <si>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</si>
  <si>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</si>
  <si>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</si>
  <si>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</si>
  <si>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</si>
  <si>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</si>
  <si>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</si>
  <si>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</si>
  <si>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</si>
  <si>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</si>
  <si>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</si>
  <si>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</si>
  <si>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</si>
  <si>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</si>
  <si>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</si>
  <si>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</si>
  <si>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</si>
  <si>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</si>
  <si>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</si>
  <si>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</si>
  <si>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</si>
  <si>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</si>
  <si>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</si>
  <si>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</si>
  <si>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</si>
  <si>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</si>
  <si>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</si>
  <si>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</si>
  <si>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</si>
  <si>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</si>
  <si>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</si>
  <si>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</si>
  <si>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</si>
  <si>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</si>
  <si>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</si>
  <si>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</si>
  <si>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</si>
  <si>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</si>
  <si>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</si>
  <si>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</si>
  <si>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</si>
  <si>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</si>
  <si>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</si>
  <si>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</si>
  <si>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</si>
  <si>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</si>
  <si>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</si>
  <si>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</si>
  <si>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</si>
  <si>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</si>
  <si>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</si>
  <si>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</si>
  <si>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</si>
  <si>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</si>
  <si>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</si>
  <si>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</si>
  <si>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</si>
  <si>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</si>
  <si>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</si>
  <si>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</si>
  <si>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</si>
  <si>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</si>
  <si>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</si>
  <si>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</si>
  <si>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</si>
  <si>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</si>
  <si>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</si>
  <si>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</si>
  <si>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</si>
  <si>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</si>
  <si>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</si>
  <si>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</si>
  <si>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</si>
  <si>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</si>
  <si>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</si>
  <si>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</si>
  <si>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</si>
  <si>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</si>
  <si>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</si>
  <si>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</si>
  <si>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</si>
  <si>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</si>
  <si>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</si>
  <si>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</si>
  <si>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</si>
  <si>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</si>
  <si>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</si>
  <si>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</si>
  <si>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</si>
  <si>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</si>
  <si>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</si>
  <si>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</si>
  <si>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</si>
  <si>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</si>
  <si>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</si>
  <si>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</si>
  <si>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</si>
  <si>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</si>
  <si>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</si>
  <si>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</si>
  <si>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</si>
  <si>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</si>
  <si>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</si>
  <si>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</si>
  <si>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</si>
  <si>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</si>
  <si>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</si>
  <si>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</si>
  <si>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</si>
  <si>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</si>
  <si>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</si>
  <si>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</si>
  <si>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</si>
  <si>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</si>
  <si>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</si>
  <si>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</si>
  <si>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</si>
  <si>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</si>
  <si>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</si>
  <si>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</si>
  <si>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</si>
  <si>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</si>
  <si>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</si>
  <si>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</si>
  <si>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</si>
  <si>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</si>
  <si>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</si>
  <si>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</si>
  <si>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</si>
  <si>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</si>
  <si>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</si>
  <si>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</si>
  <si>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</si>
  <si>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</si>
  <si>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</si>
  <si>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</si>
  <si>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</si>
  <si>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</si>
  <si>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</si>
  <si>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</si>
  <si>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</si>
  <si>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</si>
  <si>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</si>
  <si>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</si>
  <si>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</si>
  <si>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</si>
  <si>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</si>
  <si>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</si>
  <si>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</si>
  <si>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</si>
  <si>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</si>
  <si>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</si>
  <si>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</si>
  <si>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</si>
  <si>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</si>
  <si>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</si>
  <si>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</si>
  <si>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</si>
  <si>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</si>
  <si>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</si>
  <si>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</si>
  <si>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</si>
  <si>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</si>
  <si>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</si>
  <si>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</si>
  <si>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</si>
  <si>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</si>
  <si>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</si>
  <si>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</si>
  <si>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</si>
  <si>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</si>
  <si>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</si>
  <si>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</si>
  <si>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</si>
  <si>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</si>
  <si>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</si>
  <si>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</si>
  <si>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</si>
  <si>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</si>
  <si>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</si>
  <si>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</si>
  <si>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</si>
  <si>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</si>
  <si>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</si>
  <si>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</si>
  <si>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</si>
  <si>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</si>
  <si>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</si>
  <si>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</si>
  <si>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</si>
  <si>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</si>
  <si>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</si>
  <si>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</si>
  <si>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</si>
  <si>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</si>
  <si>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</si>
  <si>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</si>
  <si>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</si>
  <si>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</si>
  <si>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</si>
  <si>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</si>
  <si>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</si>
  <si>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</si>
  <si>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</si>
  <si>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</si>
  <si>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</si>
  <si>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</si>
  <si>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</si>
  <si>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</si>
  <si>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</si>
  <si>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</si>
  <si>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</si>
  <si>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</si>
  <si>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</si>
  <si>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</si>
  <si>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</si>
  <si>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</si>
  <si>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</si>
  <si>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</si>
  <si>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</si>
  <si>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</si>
  <si>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</si>
  <si>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</si>
  <si>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</si>
  <si>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</si>
  <si>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</si>
  <si>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</si>
  <si>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</si>
  <si>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</si>
  <si>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</si>
  <si>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</si>
  <si>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</si>
  <si>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</si>
  <si>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</si>
  <si>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</si>
  <si>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</si>
  <si>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</si>
  <si>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</si>
  <si>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</si>
  <si>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</si>
  <si>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</si>
  <si>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</si>
  <si>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</si>
  <si>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</si>
  <si>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</si>
  <si>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</si>
  <si>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</si>
  <si>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</si>
  <si>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</si>
  <si>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</si>
  <si>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</si>
  <si>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</si>
  <si>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</si>
  <si>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</si>
  <si>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</si>
  <si>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</si>
  <si>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</si>
  <si>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</si>
  <si>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</si>
  <si>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</si>
  <si>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</si>
  <si>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</si>
  <si>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</si>
  <si>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</si>
  <si>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</si>
  <si>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</si>
  <si>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</si>
  <si>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</si>
  <si>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</si>
  <si>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</si>
  <si>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</si>
  <si>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</si>
  <si>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</si>
  <si>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</si>
  <si>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</si>
  <si>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</si>
  <si>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</si>
  <si>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</si>
  <si>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</si>
  <si>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</si>
  <si>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</si>
  <si>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</si>
  <si>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</si>
  <si>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</si>
  <si>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</si>
  <si>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</si>
  <si>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</si>
  <si>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</si>
  <si>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</si>
  <si>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</si>
  <si>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</si>
  <si>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</si>
  <si>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</si>
  <si>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</si>
  <si>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</si>
  <si>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</si>
  <si>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</si>
  <si>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</si>
  <si>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</si>
  <si>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</si>
  <si>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</si>
  <si>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</si>
  <si>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</si>
  <si>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</si>
  <si>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</si>
  <si>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</si>
  <si>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</si>
  <si>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</si>
  <si>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</si>
  <si>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</si>
  <si>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</si>
  <si>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</si>
  <si>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</si>
  <si>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</si>
  <si>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</si>
  <si>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</si>
  <si>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</si>
  <si>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</si>
  <si>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</si>
  <si>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</si>
  <si>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</si>
  <si>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</si>
  <si>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</si>
  <si>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</si>
  <si>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</si>
  <si>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</si>
  <si>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</si>
  <si>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</si>
  <si>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</si>
  <si>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</si>
  <si>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</si>
  <si>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</si>
  <si>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</si>
  <si>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</si>
  <si>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</si>
  <si>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</si>
  <si>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</si>
  <si>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</si>
  <si>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</si>
  <si>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</si>
  <si>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</si>
  <si>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</si>
  <si>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</si>
  <si>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</si>
  <si>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</si>
  <si>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</si>
  <si>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</si>
  <si>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</si>
  <si>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</si>
  <si>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</si>
  <si>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</si>
  <si>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</si>
  <si>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</si>
  <si>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</si>
  <si>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</si>
  <si>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</si>
  <si>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</si>
  <si>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</si>
  <si>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</si>
  <si>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</si>
  <si>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</si>
  <si>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</si>
  <si>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</si>
  <si>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</si>
  <si>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</si>
  <si>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</si>
  <si>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</si>
  <si>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</si>
  <si>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</si>
  <si>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</si>
  <si>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</si>
  <si>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</si>
  <si>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</si>
  <si>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</si>
  <si>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</si>
  <si>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</si>
  <si>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</si>
  <si>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</si>
  <si>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</si>
  <si>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</si>
  <si>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</si>
  <si>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</si>
  <si>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</si>
  <si>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</si>
  <si>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</si>
  <si>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</si>
  <si>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</si>
  <si>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</si>
  <si>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</si>
  <si>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</si>
  <si>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</si>
  <si>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</si>
  <si>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</si>
  <si>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</si>
  <si>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</si>
  <si>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</si>
  <si>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</si>
  <si>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</si>
  <si>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</si>
  <si>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</si>
  <si>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</si>
  <si>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</si>
  <si>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</si>
  <si>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</si>
  <si>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</si>
  <si>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</si>
  <si>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</si>
  <si>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</si>
  <si>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</si>
  <si>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</si>
  <si>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</si>
  <si>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</si>
  <si>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</si>
  <si>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</si>
  <si>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</si>
  <si>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</si>
  <si>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</si>
  <si>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</si>
  <si>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</si>
  <si>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</si>
  <si>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</si>
  <si>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</si>
  <si>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</si>
  <si>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</si>
  <si>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</si>
  <si>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</si>
  <si>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</si>
  <si>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</si>
  <si>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</si>
  <si>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</si>
  <si>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</si>
  <si>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</si>
  <si>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</si>
  <si>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</si>
  <si>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</si>
  <si>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</si>
  <si>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</si>
  <si>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</si>
  <si>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</si>
  <si>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</si>
  <si>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</si>
  <si>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</si>
  <si>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</si>
  <si>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</si>
  <si>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</si>
  <si>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</si>
  <si>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</si>
  <si>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</si>
  <si>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</si>
  <si>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</si>
  <si>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</si>
  <si>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</si>
  <si>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</si>
  <si>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</si>
  <si>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</si>
  <si>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</si>
  <si>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</si>
  <si>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</si>
  <si>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</si>
  <si>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</si>
  <si>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</si>
  <si>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</si>
  <si>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</si>
  <si>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</si>
  <si>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</si>
  <si>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</si>
  <si>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</si>
  <si>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</si>
  <si>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</si>
  <si>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</si>
  <si>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</si>
  <si>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</si>
  <si>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</si>
  <si>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</si>
  <si>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</si>
  <si>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</si>
  <si>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</si>
  <si>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</si>
  <si>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</si>
  <si>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</si>
  <si>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</si>
  <si>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</si>
  <si>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</si>
  <si>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</si>
  <si>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</si>
  <si>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</si>
  <si>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</si>
  <si>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</si>
  <si>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</si>
  <si>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</si>
  <si>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</si>
  <si>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</si>
  <si>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</si>
  <si>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</si>
  <si>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</si>
  <si>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</si>
  <si>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</si>
  <si>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</si>
  <si>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</si>
  <si>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</si>
  <si>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</si>
  <si>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</si>
  <si>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</si>
  <si>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</si>
  <si>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</si>
  <si>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</si>
  <si>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</si>
  <si>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</si>
  <si>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</si>
  <si>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</si>
  <si>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</si>
  <si>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</si>
  <si>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</si>
  <si>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</si>
  <si>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</si>
  <si>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</si>
  <si>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</si>
  <si>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</si>
  <si>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</si>
  <si>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</si>
  <si>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</si>
  <si>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</si>
  <si>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</si>
  <si>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</si>
  <si>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</si>
  <si>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</si>
  <si>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</si>
  <si>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</si>
  <si>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</si>
  <si>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</si>
  <si>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</si>
  <si>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</si>
  <si>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</si>
  <si>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</si>
  <si>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</si>
  <si>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</si>
  <si>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</si>
  <si>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</si>
  <si>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</si>
  <si>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</si>
  <si>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</si>
  <si>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</si>
  <si>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</si>
  <si>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</si>
  <si>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</si>
  <si>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</si>
  <si>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</si>
  <si>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</si>
  <si>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</si>
  <si>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</si>
  <si>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</si>
  <si>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</si>
  <si>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</si>
  <si>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</si>
  <si>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</si>
  <si>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</si>
  <si>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</si>
  <si>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</si>
  <si>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</si>
  <si>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</si>
  <si>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</si>
  <si>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</si>
  <si>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</si>
  <si>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</si>
  <si>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</si>
  <si>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</si>
  <si>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</si>
  <si>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</si>
  <si>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</si>
  <si>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</si>
  <si>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</si>
  <si>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</si>
  <si>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</si>
  <si>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</si>
  <si>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</si>
  <si>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</si>
  <si>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</si>
  <si>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</si>
  <si>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</si>
  <si>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</si>
  <si>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</si>
  <si>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</si>
  <si>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</si>
  <si>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</si>
  <si>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</si>
  <si>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</si>
  <si>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</si>
  <si>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</si>
  <si>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</si>
  <si>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</si>
  <si>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</si>
  <si>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</si>
  <si>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</si>
  <si>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</si>
  <si>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</si>
  <si>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</si>
  <si>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</si>
  <si>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</si>
  <si>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</si>
  <si>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</si>
  <si>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</si>
  <si>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</si>
  <si>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</si>
  <si>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</si>
  <si>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</si>
  <si>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</si>
  <si>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</si>
  <si>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</si>
  <si>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</si>
  <si>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</si>
  <si>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</si>
  <si>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</si>
  <si>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</si>
  <si>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</si>
  <si>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</si>
  <si>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</si>
  <si>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</si>
  <si>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</si>
  <si>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</si>
  <si>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</si>
  <si>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</si>
  <si>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</si>
  <si>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</si>
  <si>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</si>
  <si>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</si>
  <si>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</si>
  <si>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</si>
  <si>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</si>
  <si>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</si>
  <si>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</si>
  <si>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</si>
  <si>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</si>
  <si>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</si>
  <si>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</si>
  <si>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</si>
  <si>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</si>
  <si>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</si>
  <si>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</si>
  <si>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</si>
  <si>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</si>
  <si>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</si>
  <si>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</si>
  <si>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</si>
  <si>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</si>
  <si>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</si>
  <si>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</si>
  <si>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</si>
  <si>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</si>
  <si>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</si>
  <si>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</si>
  <si>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</si>
  <si>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</si>
  <si>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</si>
  <si>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</si>
  <si>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</si>
  <si>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</si>
  <si>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</si>
  <si>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</si>
  <si>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</si>
  <si>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</si>
  <si>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</si>
  <si>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</si>
  <si>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</si>
  <si>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</si>
  <si>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</si>
  <si>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</si>
  <si>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</si>
  <si>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</si>
  <si>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</si>
  <si>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</si>
  <si>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</si>
  <si>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</si>
  <si>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</si>
  <si>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</si>
  <si>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</si>
  <si>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</si>
  <si>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</si>
  <si>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</si>
  <si>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</si>
  <si>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</si>
  <si>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</si>
  <si>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</si>
  <si>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</si>
  <si>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</si>
  <si>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</si>
  <si>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</si>
  <si>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</si>
  <si>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</si>
  <si>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</si>
  <si>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</si>
  <si>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</si>
  <si>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</si>
  <si>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</si>
  <si>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</si>
  <si>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</si>
  <si>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</si>
  <si>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</si>
  <si>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</si>
  <si>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</si>
  <si>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</si>
  <si>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</si>
  <si>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</si>
  <si>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</si>
  <si>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</si>
  <si>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</si>
  <si>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</si>
  <si>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</si>
  <si>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</si>
  <si>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</si>
  <si>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</si>
  <si>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</si>
  <si>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</si>
  <si>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</si>
  <si>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</si>
  <si>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</si>
  <si>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</si>
  <si>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</si>
  <si>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</si>
  <si>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</si>
  <si>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</si>
  <si>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</si>
  <si>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</si>
  <si>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</si>
  <si>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</si>
  <si>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</si>
  <si>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</si>
  <si>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</si>
  <si>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</si>
  <si>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</si>
  <si>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</si>
  <si>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</si>
  <si>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</si>
  <si>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</si>
  <si>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</si>
  <si>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</si>
  <si>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</si>
  <si>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</si>
  <si>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</si>
  <si>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</si>
  <si>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</si>
  <si>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</si>
  <si>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</si>
  <si>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</si>
  <si>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</si>
  <si>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</si>
  <si>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</si>
  <si>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</si>
  <si>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</si>
  <si>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</si>
  <si>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</si>
  <si>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</si>
  <si>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</si>
  <si>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</si>
  <si>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</si>
  <si>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</si>
  <si>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</si>
  <si>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</si>
  <si>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</si>
  <si>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</si>
  <si>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</si>
  <si>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</si>
  <si>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</si>
  <si>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</si>
  <si>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</si>
  <si>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</si>
  <si>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</si>
  <si>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</si>
  <si>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</si>
  <si>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</si>
  <si>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</si>
  <si>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</si>
  <si>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</si>
  <si>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</si>
  <si>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</si>
  <si>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</si>
  <si>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</si>
  <si>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</si>
  <si>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</si>
  <si>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</si>
  <si>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</si>
  <si>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</si>
  <si>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</si>
  <si>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</si>
  <si>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</si>
  <si>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</si>
  <si>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</si>
  <si>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</si>
  <si>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</si>
  <si>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</si>
  <si>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</si>
  <si>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</si>
  <si>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</si>
  <si>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</si>
  <si>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</si>
  <si>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</si>
  <si>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</si>
  <si>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</si>
  <si>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</si>
  <si>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</si>
  <si>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</si>
  <si>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</si>
  <si>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</si>
  <si>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</si>
  <si>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</si>
  <si>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</si>
  <si>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</si>
  <si>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</si>
  <si>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</si>
  <si>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</si>
  <si>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</si>
  <si>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</si>
  <si>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</si>
  <si>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</si>
  <si>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</si>
  <si>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</si>
  <si>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</si>
  <si>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</si>
  <si>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</si>
  <si>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</si>
  <si>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</si>
  <si>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</si>
  <si>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</si>
  <si>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</si>
  <si>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</si>
  <si>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</si>
  <si>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</si>
  <si>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</si>
  <si>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</si>
  <si>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</si>
  <si>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</si>
  <si>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</si>
  <si>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</si>
  <si>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</si>
  <si>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</si>
  <si>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</si>
  <si>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</si>
  <si>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</si>
  <si>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</si>
  <si>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</si>
  <si>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</si>
  <si>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</si>
  <si>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</si>
  <si>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</si>
  <si>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</si>
  <si>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</si>
  <si>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</si>
  <si>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</si>
  <si>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</si>
  <si>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</si>
  <si>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</si>
  <si>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</si>
  <si>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</si>
  <si>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</si>
  <si>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</si>
  <si>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</si>
  <si>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</si>
  <si>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</si>
  <si>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</si>
  <si>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</si>
  <si>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</si>
  <si>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</si>
  <si>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</si>
  <si>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</si>
  <si>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</si>
  <si>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</si>
  <si>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</si>
  <si>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</si>
  <si>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</si>
  <si>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</si>
  <si>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</si>
  <si>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</si>
  <si>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</si>
  <si>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</si>
  <si>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</si>
  <si>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</si>
  <si>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</si>
  <si>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</si>
  <si>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</si>
  <si>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</si>
  <si>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</si>
  <si>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</si>
  <si>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</si>
  <si>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</si>
  <si>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</si>
  <si>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</si>
  <si>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</si>
  <si>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</si>
  <si>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</si>
  <si>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</si>
  <si>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</si>
  <si>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</si>
  <si>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</si>
  <si>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</si>
  <si>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</si>
  <si>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</si>
  <si>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</si>
  <si>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</si>
  <si>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</si>
  <si>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</si>
  <si>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</si>
  <si>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</si>
  <si>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</si>
  <si>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</si>
  <si>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</si>
  <si>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</si>
  <si>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</si>
  <si>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</si>
  <si>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</si>
  <si>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</si>
  <si>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</si>
  <si>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</si>
  <si>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</si>
  <si>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</si>
  <si>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</si>
  <si>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</si>
  <si>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</si>
  <si>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</si>
  <si>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</si>
  <si>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</si>
  <si>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</si>
  <si>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</si>
  <si>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</si>
  <si>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</si>
  <si>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</si>
  <si>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</si>
  <si>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</si>
  <si>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</si>
  <si>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</si>
  <si>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</si>
  <si>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</si>
  <si>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</si>
  <si>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</si>
  <si>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</si>
  <si>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</si>
  <si>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</si>
  <si>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</si>
  <si>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</si>
  <si>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</si>
  <si>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</si>
  <si>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</si>
  <si>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</si>
  <si>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</si>
  <si>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</si>
  <si>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</si>
  <si>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</si>
  <si>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</si>
  <si>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</si>
  <si>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</si>
  <si>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</si>
  <si>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</si>
  <si>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</si>
  <si>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</si>
  <si>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</si>
  <si>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</si>
  <si>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</si>
  <si>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</si>
  <si>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</si>
  <si>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</si>
  <si>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</si>
  <si>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</si>
  <si>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</si>
  <si>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</si>
  <si>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</si>
  <si>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</si>
  <si>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</si>
  <si>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</si>
  <si>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</si>
  <si>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</si>
  <si>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</si>
  <si>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</si>
  <si>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</si>
  <si>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</si>
  <si>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</si>
  <si>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</si>
  <si>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</si>
  <si>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</si>
  <si>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</si>
  <si>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</si>
  <si>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</si>
  <si>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</si>
  <si>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</si>
  <si>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</si>
  <si>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</si>
  <si>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</si>
  <si>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</si>
  <si>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</si>
  <si>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</si>
  <si>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</si>
  <si>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</si>
  <si>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</si>
  <si>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</si>
  <si>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</si>
  <si>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</si>
  <si>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</si>
  <si>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</si>
  <si>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</si>
  <si>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</si>
  <si>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</si>
  <si>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</si>
  <si>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</si>
  <si>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</si>
  <si>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</si>
  <si>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</si>
  <si>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</si>
  <si>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</si>
  <si>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</si>
  <si>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</si>
  <si>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</si>
  <si>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</si>
  <si>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</si>
  <si>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</si>
  <si>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</si>
  <si>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</si>
  <si>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</si>
  <si>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</si>
  <si>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</si>
  <si>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</si>
  <si>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</si>
  <si>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</si>
  <si>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</si>
  <si>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</si>
  <si>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</si>
  <si>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</si>
  <si>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</si>
  <si>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</si>
  <si>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</si>
  <si>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</si>
  <si>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</si>
  <si>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</si>
  <si>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</si>
  <si>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</si>
  <si>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</si>
  <si>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</si>
  <si>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</si>
  <si>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</si>
  <si>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</si>
  <si>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</si>
  <si>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</si>
  <si>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</si>
  <si>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</si>
  <si>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</si>
  <si>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</si>
  <si>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</si>
  <si>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</si>
  <si>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</si>
  <si>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</si>
  <si>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</si>
  <si>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</si>
  <si>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</si>
  <si>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</si>
  <si>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</si>
  <si>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</si>
  <si>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</si>
  <si>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</si>
  <si>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</si>
  <si>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</si>
  <si>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</si>
  <si>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</si>
  <si>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</si>
  <si>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</si>
  <si>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</si>
  <si>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</si>
  <si>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</si>
  <si>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</si>
  <si>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</si>
  <si>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</si>
  <si>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</si>
  <si>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</si>
  <si>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</si>
  <si>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</si>
  <si>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</si>
  <si>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</si>
  <si>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</si>
  <si>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</si>
  <si>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</si>
  <si>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</si>
  <si>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</si>
  <si>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</si>
  <si>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</si>
  <si>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</si>
  <si>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</si>
  <si>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</si>
  <si>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</si>
  <si>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</si>
  <si>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</si>
  <si>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</si>
  <si>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</si>
  <si>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</si>
  <si>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</si>
  <si>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</si>
  <si>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</si>
  <si>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</si>
  <si>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</si>
  <si>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</si>
  <si>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</si>
  <si>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</si>
  <si>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</si>
  <si>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</si>
  <si>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</si>
  <si>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</si>
  <si>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</si>
  <si>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</si>
  <si>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</si>
  <si>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</si>
  <si>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</si>
  <si>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</si>
  <si>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</si>
  <si>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</si>
  <si>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</si>
  <si>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</si>
  <si>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</si>
  <si>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</si>
  <si>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</si>
  <si>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</si>
  <si>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</si>
  <si>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</si>
  <si>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</si>
  <si>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</si>
  <si>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</si>
  <si>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</si>
  <si>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</si>
  <si>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</si>
  <si>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</si>
  <si>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</si>
  <si>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</si>
  <si>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</si>
  <si>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</si>
  <si>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</si>
  <si>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</si>
  <si>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</si>
  <si>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</si>
  <si>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</si>
  <si>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</si>
  <si>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</si>
  <si>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</si>
  <si>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</si>
  <si>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</si>
  <si>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</si>
  <si>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</si>
  <si>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</si>
  <si>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</si>
  <si>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</si>
  <si>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</si>
  <si>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</si>
  <si>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</si>
  <si>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</si>
  <si>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</si>
  <si>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</si>
  <si>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</si>
  <si>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</si>
  <si>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</si>
  <si>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</si>
  <si>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</si>
  <si>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</si>
  <si>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</si>
  <si>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</si>
  <si>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</si>
  <si>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</si>
  <si>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</si>
  <si>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</si>
  <si>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</si>
  <si>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</si>
  <si>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</si>
  <si>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</si>
  <si>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</si>
  <si>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</si>
  <si>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</si>
  <si>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</si>
  <si>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</si>
  <si>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</si>
  <si>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</si>
  <si>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</si>
  <si>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</si>
  <si>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</si>
  <si>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</si>
  <si>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</si>
  <si>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</si>
  <si>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</si>
  <si>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</si>
  <si>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</si>
  <si>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</si>
  <si>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</si>
  <si>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</si>
  <si>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</si>
  <si>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</si>
  <si>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</si>
  <si>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</si>
  <si>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</si>
  <si>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</si>
  <si>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</si>
  <si>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</si>
  <si>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</si>
  <si>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</si>
  <si>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</si>
  <si>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</si>
  <si>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</si>
  <si>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</si>
  <si>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</si>
  <si>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</si>
  <si>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</si>
  <si>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</si>
  <si>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</si>
  <si>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</si>
  <si>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</si>
  <si>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</si>
  <si>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</si>
  <si>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</si>
  <si>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</si>
  <si>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</si>
  <si>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</si>
  <si>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</si>
  <si>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</si>
  <si>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</si>
  <si>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</si>
  <si>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</si>
  <si>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</si>
  <si>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</si>
  <si>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</si>
  <si>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</si>
  <si>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</si>
  <si>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</si>
  <si>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</si>
  <si>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</si>
  <si>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</si>
  <si>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</si>
  <si>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</si>
  <si>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</si>
  <si>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</si>
  <si>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</si>
  <si>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</si>
  <si>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</si>
  <si>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</si>
  <si>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</si>
  <si>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</si>
  <si>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</si>
  <si>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</si>
  <si>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</si>
  <si>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</si>
  <si>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</si>
  <si>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</si>
  <si>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</si>
  <si>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</si>
  <si>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</si>
  <si>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</si>
  <si>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</si>
  <si>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</si>
  <si>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</si>
  <si>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</si>
  <si>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</si>
  <si>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</si>
  <si>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</si>
  <si>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</si>
  <si>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</si>
  <si>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</si>
  <si>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</si>
  <si>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</si>
  <si>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</si>
  <si>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</si>
  <si>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</si>
  <si>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</si>
  <si>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</si>
  <si>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</si>
  <si>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</si>
  <si>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</si>
  <si>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</si>
  <si>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</si>
  <si>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</si>
  <si>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</si>
  <si>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</si>
  <si>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</si>
  <si>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</si>
  <si>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</si>
  <si>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</si>
  <si>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</si>
  <si>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</si>
  <si>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</si>
  <si>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</si>
  <si>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</si>
  <si>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</si>
  <si>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</si>
  <si>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</si>
  <si>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</si>
  <si>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</si>
  <si>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</si>
  <si>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</si>
  <si>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</si>
  <si>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</si>
  <si>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</si>
  <si>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</si>
  <si>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</si>
  <si>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</si>
  <si>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</si>
  <si>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</si>
  <si>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</si>
  <si>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</si>
  <si>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</si>
  <si>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</si>
  <si>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</si>
  <si>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</si>
  <si>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</si>
  <si>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</si>
  <si>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</si>
  <si>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</si>
  <si>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</si>
  <si>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</si>
  <si>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</si>
  <si>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</si>
  <si>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</si>
  <si>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</si>
  <si>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</si>
  <si>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</si>
  <si>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</si>
  <si>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</si>
  <si>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</si>
  <si>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</si>
  <si>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</si>
  <si>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</si>
  <si>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</si>
  <si>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</si>
  <si>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</si>
  <si>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</si>
  <si>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</si>
  <si>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</si>
  <si>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</si>
  <si>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</si>
  <si>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</si>
  <si>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</si>
  <si>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</si>
  <si>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</si>
  <si>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</si>
  <si>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</si>
  <si>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</si>
  <si>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</si>
  <si>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</si>
  <si>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</si>
  <si>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</si>
  <si>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</si>
  <si>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</si>
  <si>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</si>
  <si>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</si>
  <si>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</si>
  <si>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</si>
  <si>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</si>
  <si>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</si>
  <si>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</si>
  <si>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</si>
  <si>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</si>
  <si>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</si>
  <si>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</si>
  <si>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</si>
  <si>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</si>
  <si>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</si>
  <si>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</si>
  <si>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</si>
  <si>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</si>
  <si>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</si>
  <si>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</si>
  <si>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</si>
  <si>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</si>
  <si>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</si>
  <si>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</si>
  <si>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</si>
  <si>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</si>
  <si>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</si>
  <si>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</si>
  <si>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</si>
  <si>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</si>
  <si>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</si>
  <si>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</si>
  <si>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</si>
  <si>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</si>
  <si>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</si>
  <si>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</si>
  <si>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</si>
  <si>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</si>
  <si>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</si>
  <si>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</si>
  <si>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</si>
  <si>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</si>
  <si>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</si>
  <si>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</si>
  <si>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</si>
  <si>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</si>
  <si>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</si>
  <si>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</si>
  <si>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</si>
  <si>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</si>
  <si>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</si>
  <si>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</si>
  <si>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</si>
  <si>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</si>
  <si>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</si>
  <si>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</si>
  <si>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</si>
  <si>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</si>
  <si>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</si>
  <si>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</si>
  <si>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</si>
  <si>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</si>
  <si>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</si>
  <si>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</si>
  <si>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</si>
  <si>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</si>
  <si>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</si>
  <si>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</si>
  <si>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</si>
  <si>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</si>
  <si>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</si>
  <si>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</si>
  <si>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</si>
  <si>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</si>
  <si>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</si>
  <si>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</si>
  <si>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</si>
  <si>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</si>
  <si>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</si>
  <si>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</si>
  <si>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</si>
  <si>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</si>
  <si>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</si>
  <si>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</si>
  <si>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</si>
  <si>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</si>
  <si>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</si>
  <si>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</si>
  <si>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</si>
  <si>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</si>
  <si>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</si>
  <si>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</si>
  <si>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</si>
  <si>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</si>
  <si>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</si>
  <si>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</si>
  <si>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</si>
  <si>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</si>
  <si>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</si>
  <si>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</si>
  <si>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</si>
  <si>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</si>
  <si>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</si>
  <si>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</si>
  <si>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</si>
  <si>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</si>
  <si>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</si>
  <si>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</si>
  <si>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</si>
  <si>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</si>
  <si>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</si>
  <si>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</si>
  <si>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</si>
  <si>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</si>
  <si>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</si>
  <si>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</si>
  <si>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</si>
  <si>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</si>
  <si>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</si>
  <si>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</si>
  <si>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</si>
  <si>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</si>
  <si>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</si>
  <si>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</si>
  <si>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</si>
  <si>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</si>
  <si>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</si>
  <si>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</si>
  <si>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</si>
  <si>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</si>
  <si>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</si>
  <si>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</si>
  <si>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</si>
  <si>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</si>
  <si>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</si>
  <si>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</si>
  <si>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</si>
  <si>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</si>
  <si>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</si>
  <si>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</si>
  <si>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</si>
  <si>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</si>
  <si>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</si>
  <si>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</si>
  <si>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</si>
  <si>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</si>
  <si>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</si>
  <si>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</si>
  <si>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</si>
  <si>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</si>
  <si>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</si>
  <si>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</si>
  <si>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</si>
  <si>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</si>
  <si>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</si>
  <si>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</si>
  <si>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</si>
  <si>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</si>
  <si>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</si>
  <si>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</si>
  <si>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</si>
  <si>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</si>
  <si>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</si>
  <si>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</si>
  <si>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</si>
  <si>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</si>
  <si>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</si>
  <si>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</si>
  <si>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</si>
  <si>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</si>
  <si>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</si>
  <si>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</si>
  <si>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</si>
  <si>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</si>
  <si>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</si>
  <si>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</si>
  <si>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</si>
  <si>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</si>
  <si>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</si>
  <si>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</si>
  <si>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</si>
  <si>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</si>
  <si>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</si>
  <si>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</si>
  <si>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</si>
  <si>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</si>
  <si>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</si>
  <si>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</si>
  <si>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</si>
  <si>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</si>
  <si>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</si>
  <si>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</si>
  <si>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</si>
  <si>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</si>
  <si>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</si>
  <si>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</si>
  <si>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</si>
  <si>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</si>
  <si>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</si>
  <si>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</si>
  <si>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</si>
  <si>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</si>
  <si>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</si>
  <si>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</si>
  <si>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</si>
  <si>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</si>
  <si>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</si>
  <si>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</si>
  <si>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</si>
  <si>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</si>
  <si>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</si>
  <si>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</si>
  <si>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</si>
  <si>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</si>
  <si>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</si>
  <si>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</si>
  <si>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</si>
  <si>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</si>
  <si>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</si>
  <si>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</si>
  <si>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</si>
  <si>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</si>
  <si>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</si>
  <si>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</si>
  <si>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</si>
  <si>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</si>
  <si>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</si>
  <si>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</si>
  <si>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</si>
  <si>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</si>
  <si>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</si>
  <si>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</si>
  <si>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</si>
  <si>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</si>
  <si>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</si>
  <si>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</si>
  <si>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</si>
  <si>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</si>
  <si>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</si>
  <si>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</si>
  <si>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</si>
  <si>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</si>
  <si>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</si>
  <si>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</si>
  <si>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</si>
  <si>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</si>
  <si>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</si>
  <si>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</si>
  <si>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</si>
  <si>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</si>
  <si>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</si>
  <si>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</si>
  <si>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</si>
  <si>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</si>
  <si>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</si>
  <si>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</si>
  <si>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</si>
  <si>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</si>
  <si>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</si>
  <si>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</si>
  <si>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</si>
  <si>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</si>
  <si>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</si>
  <si>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</si>
  <si>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</si>
  <si>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</si>
  <si>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</si>
  <si>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</si>
  <si>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</si>
  <si>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</si>
  <si>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</si>
  <si>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</si>
  <si>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</si>
  <si>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</si>
  <si>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</si>
  <si>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</si>
  <si>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</si>
  <si>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</si>
  <si>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</si>
  <si>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</si>
  <si>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</si>
  <si>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</si>
  <si>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</si>
  <si>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</si>
  <si>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</si>
  <si>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</si>
  <si>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</si>
  <si>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</si>
  <si>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</si>
  <si>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</si>
  <si>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</si>
  <si>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</si>
  <si>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</si>
  <si>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</si>
  <si>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</si>
  <si>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</si>
  <si>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</si>
  <si>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</si>
  <si>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</si>
  <si>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</si>
  <si>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</si>
  <si>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</si>
  <si>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</si>
  <si>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</si>
  <si>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</si>
  <si>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</si>
  <si>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</si>
  <si>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</si>
  <si>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</si>
  <si>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</si>
  <si>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</si>
  <si>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</si>
  <si>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</si>
  <si>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</si>
  <si>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</si>
  <si>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</si>
  <si>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</si>
  <si>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</si>
  <si>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</si>
  <si>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</si>
  <si>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</si>
  <si>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</si>
  <si>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</si>
  <si>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</si>
  <si>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</si>
  <si>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</si>
  <si>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</si>
  <si>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</si>
  <si>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</si>
  <si>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</si>
  <si>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</si>
  <si>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</si>
  <si>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</si>
  <si>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</si>
  <si>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</si>
  <si>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</si>
  <si>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</si>
  <si>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</si>
  <si>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</si>
  <si>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</si>
  <si>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</si>
  <si>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</si>
  <si>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</si>
  <si>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</si>
  <si>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</si>
  <si>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</si>
  <si>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</si>
  <si>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</si>
  <si>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</si>
  <si>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</si>
  <si>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</si>
  <si>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</si>
  <si>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</si>
  <si>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</si>
  <si>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</si>
  <si>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</si>
  <si>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</si>
  <si>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</si>
  <si>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</si>
  <si>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</si>
  <si>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</si>
  <si>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</si>
  <si>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</si>
  <si>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</si>
  <si>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</si>
  <si>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</si>
  <si>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</si>
  <si>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</si>
  <si>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</si>
  <si>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</si>
  <si>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</si>
  <si>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</si>
  <si>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</si>
  <si>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</si>
  <si>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</si>
  <si>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</si>
  <si>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</si>
  <si>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</si>
  <si>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</si>
  <si>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</si>
  <si>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</si>
  <si>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</si>
  <si>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</si>
  <si>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</si>
  <si>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</si>
  <si>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</si>
  <si>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</si>
  <si>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</si>
  <si>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</si>
  <si>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</si>
  <si>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</si>
  <si>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</si>
  <si>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</si>
  <si>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</si>
  <si>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</si>
  <si>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</si>
  <si>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</si>
  <si>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</si>
  <si>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</si>
  <si>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</si>
  <si>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</si>
  <si>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</si>
  <si>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</si>
  <si>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</si>
  <si>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</si>
  <si>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</si>
  <si>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</si>
  <si>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</si>
  <si>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</si>
  <si>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</si>
  <si>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</si>
  <si>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</si>
  <si>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</si>
  <si>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</si>
  <si>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</si>
  <si>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</si>
  <si>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</si>
  <si>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</si>
  <si>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</si>
  <si>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</si>
  <si>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</si>
  <si>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</si>
  <si>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</si>
  <si>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</si>
  <si>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</si>
  <si>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</si>
  <si>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</si>
  <si>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</si>
  <si>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</si>
  <si>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</si>
  <si>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</si>
  <si>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</si>
  <si>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</si>
  <si>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</si>
  <si>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</si>
  <si>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</si>
  <si>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</si>
  <si>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</si>
  <si>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</si>
  <si>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</si>
  <si>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</si>
  <si>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</si>
  <si>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</si>
  <si>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</si>
  <si>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</si>
  <si>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</si>
  <si>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</si>
  <si>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</si>
  <si>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</si>
  <si>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</si>
  <si>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</si>
  <si>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</si>
  <si>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</si>
  <si>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</si>
  <si>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</si>
  <si>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</si>
  <si>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</si>
  <si>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</si>
  <si>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</si>
  <si>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</si>
  <si>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</si>
  <si>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</si>
  <si>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</si>
  <si>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</si>
  <si>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</si>
  <si>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</si>
  <si>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</si>
  <si>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</si>
  <si>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</si>
  <si>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</si>
  <si>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</si>
  <si>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</si>
  <si>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</si>
  <si>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</si>
  <si>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</si>
  <si>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</si>
  <si>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</si>
  <si>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</si>
  <si>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</si>
  <si>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</si>
  <si>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</si>
  <si>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</si>
  <si>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</si>
  <si>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</si>
  <si>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</si>
  <si>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</si>
  <si>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</si>
  <si>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</si>
  <si>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</si>
  <si>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</si>
  <si>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</si>
  <si>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</si>
  <si>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</si>
  <si>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</si>
  <si>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</si>
  <si>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</si>
  <si>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</si>
  <si>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</si>
  <si>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</si>
  <si>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</si>
  <si>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</si>
  <si>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</si>
  <si>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</si>
  <si>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</si>
  <si>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</si>
  <si>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</si>
  <si>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</si>
  <si>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</si>
  <si>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</si>
  <si>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</si>
  <si>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</si>
  <si>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</si>
  <si>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</si>
  <si>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</si>
  <si>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</si>
  <si>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</si>
  <si>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</si>
  <si>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</si>
  <si>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</si>
  <si>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</si>
  <si>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</si>
  <si>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</si>
  <si>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</si>
  <si>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</si>
  <si>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</si>
  <si>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</si>
  <si>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</si>
  <si>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</si>
  <si>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</si>
  <si>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</si>
  <si>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</si>
  <si>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</si>
  <si>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</si>
  <si>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</si>
  <si>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</si>
  <si>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</si>
  <si>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</si>
  <si>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</si>
  <si>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</si>
  <si>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</si>
  <si>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</si>
  <si>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</si>
  <si>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</si>
  <si>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</si>
  <si>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</si>
  <si>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</si>
  <si>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</si>
  <si>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</si>
  <si>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</si>
  <si>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</si>
  <si>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</si>
  <si>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</si>
  <si>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</si>
  <si>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</si>
  <si>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</si>
  <si>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</si>
  <si>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</si>
  <si>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</si>
  <si>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</si>
  <si>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</si>
  <si>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</si>
  <si>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</si>
  <si>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</si>
  <si>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</si>
  <si>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</si>
  <si>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</si>
  <si>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</si>
  <si>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</si>
  <si>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</si>
  <si>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</si>
  <si>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</si>
  <si>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</si>
  <si>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</si>
  <si>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</si>
  <si>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</si>
  <si>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</si>
  <si>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</si>
  <si>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</si>
  <si>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</si>
  <si>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</si>
  <si>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</si>
  <si>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</si>
  <si>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</si>
  <si>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</si>
  <si>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</si>
  <si>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</si>
  <si>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</si>
  <si>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</si>
  <si>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</si>
  <si>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</si>
  <si>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</si>
  <si>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</si>
  <si>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</si>
  <si>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</si>
  <si>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</si>
  <si>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</si>
  <si>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</si>
  <si>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</si>
  <si>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</si>
  <si>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</si>
  <si>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</si>
  <si>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</si>
  <si>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</si>
  <si>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</si>
  <si>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</si>
  <si>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</si>
  <si>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</si>
  <si>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</si>
  <si>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</si>
  <si>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</si>
  <si>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</si>
  <si>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</si>
  <si>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</si>
  <si>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</si>
  <si>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</si>
  <si>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</si>
  <si>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</si>
  <si>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</si>
  <si>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</si>
  <si>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</si>
  <si>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</si>
  <si>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</si>
  <si>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</si>
  <si>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</si>
  <si>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</si>
  <si>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</si>
  <si>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</si>
  <si>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</si>
  <si>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</si>
  <si>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</si>
  <si>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</si>
  <si>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</si>
  <si>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</si>
  <si>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</si>
  <si>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</si>
  <si>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</si>
  <si>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</si>
  <si>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</si>
  <si>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</si>
  <si>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</si>
  <si>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</si>
  <si>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</si>
  <si>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</si>
  <si>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</si>
  <si>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</si>
  <si>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</si>
  <si>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</si>
  <si>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</si>
  <si>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</si>
  <si>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</si>
  <si>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</si>
  <si>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</si>
  <si>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</si>
  <si>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</si>
  <si>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</si>
  <si>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</si>
  <si>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</si>
  <si>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</si>
  <si>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</si>
  <si>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</si>
  <si>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</si>
  <si>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</si>
  <si>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</si>
  <si>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</si>
  <si>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</si>
  <si>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</si>
  <si>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</si>
  <si>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</si>
  <si>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</si>
  <si>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</si>
  <si>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</si>
  <si>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</si>
  <si>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</si>
  <si>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</si>
  <si>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</si>
  <si>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</si>
  <si>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</si>
  <si>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</si>
  <si>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</si>
  <si>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</si>
  <si>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</si>
  <si>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</si>
  <si>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</si>
  <si>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</si>
  <si>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</si>
  <si>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</si>
  <si>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</si>
  <si>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</si>
  <si>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</si>
  <si>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</si>
  <si>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</si>
  <si>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</si>
  <si>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</si>
  <si>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</si>
  <si>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</si>
  <si>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</si>
  <si>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</si>
  <si>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</si>
  <si>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</si>
  <si>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</si>
  <si>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</si>
  <si>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</si>
  <si>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</si>
  <si>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</si>
  <si>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</si>
  <si>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</si>
  <si>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</si>
  <si>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</si>
  <si>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</si>
  <si>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</si>
  <si>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</si>
  <si>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</si>
  <si>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</si>
  <si>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</si>
  <si>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</si>
  <si>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</si>
  <si>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</si>
  <si>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</si>
  <si>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</si>
  <si>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</si>
  <si>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</si>
  <si>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</si>
  <si>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</si>
  <si>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</si>
  <si>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</si>
  <si>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</si>
  <si>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</si>
  <si>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</si>
  <si>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</si>
  <si>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</si>
  <si>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</si>
  <si>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</si>
  <si>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</si>
  <si>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</si>
  <si>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</si>
  <si>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</si>
  <si>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</si>
  <si>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</si>
  <si>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</si>
  <si>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</si>
  <si>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</si>
  <si>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</si>
  <si>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</si>
  <si>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</si>
  <si>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</si>
  <si>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</si>
  <si>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</si>
  <si>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</si>
  <si>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</si>
  <si>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</si>
  <si>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</si>
  <si>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</si>
  <si>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</si>
  <si>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</si>
  <si>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</si>
  <si>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</si>
  <si>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</si>
  <si>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</si>
  <si>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</si>
  <si>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</si>
  <si>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</si>
  <si>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</si>
  <si>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</si>
  <si>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</si>
  <si>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</si>
  <si>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</si>
  <si>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</si>
  <si>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</si>
  <si>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</si>
  <si>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</si>
  <si>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</si>
  <si>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</si>
  <si>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</si>
  <si>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</si>
  <si>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</si>
  <si>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</si>
  <si>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</si>
  <si>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</si>
  <si>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</si>
  <si>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</si>
  <si>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</si>
  <si>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</si>
  <si>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</si>
  <si>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</si>
  <si>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</si>
  <si>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</si>
  <si>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</si>
  <si>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</si>
  <si>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</si>
  <si>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</si>
  <si>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</si>
  <si>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</si>
  <si>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</si>
  <si>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</si>
  <si>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</si>
  <si>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</si>
  <si>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</si>
  <si>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</si>
  <si>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</si>
  <si>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</si>
  <si>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</si>
  <si>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</si>
  <si>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</si>
  <si>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</si>
  <si>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</si>
  <si>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</si>
  <si>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</si>
  <si>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</si>
  <si>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</si>
  <si>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</si>
  <si>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</si>
  <si>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</si>
  <si>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</si>
  <si>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</si>
  <si>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</si>
  <si>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</si>
  <si>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</si>
  <si>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</si>
  <si>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</si>
  <si>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</si>
  <si>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</si>
  <si>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</si>
  <si>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</si>
  <si>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</si>
  <si>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</si>
  <si>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</si>
  <si>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</si>
  <si>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</si>
  <si>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</si>
  <si>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</si>
  <si>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</si>
  <si>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</si>
  <si>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</si>
  <si>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</si>
  <si>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</si>
  <si>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</si>
  <si>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</si>
  <si>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</si>
  <si>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</si>
  <si>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</si>
  <si>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</si>
  <si>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</si>
  <si>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</si>
  <si>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</si>
  <si>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</si>
  <si>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</si>
  <si>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</si>
  <si>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</si>
  <si>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</si>
  <si>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</si>
  <si>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</si>
  <si>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</si>
  <si>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</si>
  <si>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</si>
  <si>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</si>
  <si>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</si>
  <si>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</si>
  <si>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</si>
  <si>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</si>
  <si>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</si>
  <si>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</si>
  <si>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</si>
  <si>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</si>
  <si>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</si>
  <si>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</si>
  <si>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</si>
  <si>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</si>
  <si>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</si>
  <si>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</si>
  <si>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</si>
  <si>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</si>
  <si>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</si>
  <si>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</si>
  <si>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</si>
  <si>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</si>
  <si>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</si>
  <si>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</si>
  <si>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</si>
  <si>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</si>
  <si>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</si>
  <si>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</si>
  <si>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</si>
  <si>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</si>
  <si>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</si>
  <si>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</si>
  <si>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</si>
  <si>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</si>
  <si>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</si>
  <si>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</si>
  <si>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</si>
  <si>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</si>
  <si>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</si>
  <si>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</si>
  <si>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</si>
  <si>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</si>
  <si>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</si>
  <si>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</si>
  <si>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</si>
  <si>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</si>
  <si>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</si>
  <si>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</si>
  <si>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</si>
  <si>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</si>
  <si>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</si>
  <si>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</si>
  <si>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</si>
  <si>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</si>
  <si>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</si>
  <si>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</si>
  <si>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</si>
  <si>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</si>
  <si>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</si>
  <si>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</si>
  <si>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</si>
  <si>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</si>
  <si>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</si>
  <si>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</si>
  <si>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</si>
  <si>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</si>
  <si>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</si>
  <si>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</si>
  <si>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</si>
  <si>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</si>
  <si>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</si>
  <si>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</si>
  <si>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</si>
  <si>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</si>
  <si>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</si>
  <si>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</si>
  <si>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</si>
  <si>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</si>
  <si>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</si>
  <si>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</si>
  <si>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</si>
  <si>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</si>
  <si>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</si>
  <si>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</si>
  <si>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</si>
  <si>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</si>
  <si>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</si>
  <si>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</si>
  <si>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</si>
  <si>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</si>
  <si>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</si>
  <si>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</si>
  <si>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</si>
  <si>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</si>
  <si>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</si>
  <si>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</si>
  <si>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</si>
  <si>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</si>
  <si>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</si>
  <si>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</si>
  <si>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</si>
  <si>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</si>
  <si>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</si>
  <si>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</si>
  <si>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</si>
  <si>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</si>
  <si>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</si>
  <si>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</si>
  <si>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</si>
  <si>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</si>
  <si>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</si>
  <si>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</si>
  <si>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</si>
  <si>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</si>
  <si>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</si>
  <si>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</si>
  <si>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</si>
  <si>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</si>
  <si>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</si>
  <si>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</si>
  <si>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</si>
  <si>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</si>
  <si>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</si>
  <si>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</si>
  <si>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</si>
  <si>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</si>
  <si>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</si>
  <si>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</si>
  <si>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</si>
  <si>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</si>
  <si>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</si>
  <si>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</si>
  <si>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</si>
  <si>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</si>
  <si>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</si>
  <si>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</si>
  <si>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</si>
  <si>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</si>
  <si>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</si>
  <si>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</si>
  <si>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</si>
  <si>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</si>
  <si>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</si>
  <si>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</si>
  <si>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</si>
  <si>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</si>
  <si>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</si>
  <si>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</si>
  <si>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</si>
  <si>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</si>
  <si>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</si>
  <si>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</si>
  <si>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</si>
  <si>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</si>
  <si>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</si>
  <si>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</si>
  <si>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</si>
  <si>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</si>
  <si>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</si>
  <si>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</si>
  <si>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</si>
  <si>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</si>
  <si>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</si>
  <si>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</si>
  <si>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</si>
  <si>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</si>
  <si>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</si>
  <si>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</si>
  <si>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</si>
  <si>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</si>
  <si>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</si>
  <si>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</si>
  <si>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</si>
  <si>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</si>
  <si>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</si>
  <si>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</si>
  <si>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</si>
  <si>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</si>
  <si>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</si>
  <si>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</si>
  <si>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</si>
  <si>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</si>
  <si>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</si>
  <si>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</si>
  <si>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</si>
  <si>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</si>
  <si>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</si>
  <si>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</si>
  <si>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</si>
  <si>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</si>
  <si>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</si>
  <si>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</si>
  <si>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</si>
  <si>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</si>
  <si>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</si>
  <si>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</si>
  <si>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</si>
  <si>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</si>
  <si>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</si>
  <si>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</si>
  <si>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</si>
  <si>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</si>
  <si>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</si>
  <si>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</si>
  <si>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</si>
  <si>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</si>
  <si>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</si>
  <si>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</si>
  <si>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</si>
  <si>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</si>
  <si>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</si>
  <si>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</si>
  <si>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</si>
  <si>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</si>
  <si>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</si>
  <si>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</si>
  <si>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</si>
  <si>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</si>
  <si>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</si>
  <si>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</si>
  <si>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</si>
  <si>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</si>
  <si>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</si>
  <si>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</si>
  <si>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</si>
  <si>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</si>
  <si>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</si>
  <si>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</si>
  <si>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</si>
  <si>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</si>
  <si>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</si>
  <si>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</si>
  <si>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</si>
  <si>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</si>
  <si>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</si>
  <si>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</si>
  <si>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</si>
  <si>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</si>
  <si>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</si>
  <si>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</si>
  <si>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</si>
  <si>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</si>
  <si>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</si>
  <si>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</si>
  <si>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</si>
  <si>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</si>
  <si>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</si>
  <si>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</si>
  <si>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</si>
  <si>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</si>
  <si>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</si>
  <si>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</si>
  <si>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</si>
  <si>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</si>
  <si>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</si>
  <si>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</si>
  <si>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</si>
  <si>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</si>
  <si>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</si>
  <si>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</si>
  <si>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</si>
  <si>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</si>
  <si>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</si>
  <si>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</si>
  <si>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</si>
  <si>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</si>
  <si>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</si>
  <si>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</si>
  <si>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</si>
  <si>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</si>
  <si>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</si>
  <si>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</si>
  <si>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SYLVIE DAL DEGAN</t>
  </si>
  <si>
    <t xml:space="preserve">SASSE</t>
  </si>
  <si>
    <t xml:space="preserve">SASSE A BAYONS 1</t>
  </si>
  <si>
    <t xml:space="preserve">06153650</t>
  </si>
  <si>
    <t xml:space="preserve">(Date)</t>
  </si>
  <si>
    <t xml:space="preserve">20/07/2016</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</si>
  <si>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</si>
  <si>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</si>
  <si>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</si>
  <si>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</si>
  <si>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</si>
  <si>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</si>
  <si>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</si>
  <si>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</si>
  <si>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</si>
  <si>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faible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</si>
  <si>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</si>
  <si>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</si>
  <si>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</si>
  <si>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</si>
  <si>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</si>
  <si>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</si>
  <si>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</si>
  <si>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</si>
  <si>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</si>
  <si>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</si>
  <si>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</si>
  <si>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</si>
  <si>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</si>
  <si>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</si>
  <si>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</si>
  <si>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</si>
  <si>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</si>
  <si>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</si>
  <si>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</si>
  <si>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</si>
  <si>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</si>
  <si>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</si>
  <si>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</si>
  <si>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</si>
  <si>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</si>
  <si>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</si>
  <si>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</si>
  <si>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</si>
  <si>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</si>
  <si>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</si>
  <si>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</si>
  <si>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</si>
  <si>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</si>
  <si>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</si>
  <si>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</si>
  <si>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</si>
  <si>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</si>
  <si>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</si>
  <si>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</si>
  <si>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</si>
  <si>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</si>
  <si>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</si>
  <si>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</si>
  <si>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</si>
  <si>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</si>
  <si>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</si>
  <si>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</si>
  <si>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</si>
  <si>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</si>
  <si>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</si>
  <si>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</si>
  <si>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</si>
  <si>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</si>
  <si>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</si>
  <si>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</si>
  <si>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</si>
  <si>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Cf.</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</si>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</sst>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n">
        <v>9201</v>
      </c>
      <c r="O3" s="302"/>
      <c r="P3" s="302"/>
      <c r="Q3" s="303"/>
      <c r="R3" s="281"/>
      <c r="S3" s="281"/>
      <c r="T3" s="281"/>
      <c r="U3" s="281"/>
      <c r="V3" s="281"/>
      <c r="W3" s="295"/>
      <c r="X3" s="0"/>
      <c r="Y3" s="0"/>
      <c r="Z3" s="0"/>
    </row>
    <row r="4" customFormat="false" ht="13.5" hidden="false" customHeight="false" outlineLevel="0" collapsed="false">
      <c r="A4" s="304" t="s">
        <v>3381</v>
      </c>
      <c r="B4" s="305" t="s">
        <v>3382</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13.8</v>
      </c>
      <c r="N5" s="324"/>
      <c r="O5" s="325" t="s">
        <v>398</v>
      </c>
      <c r="P5" s="326" t="n">
        <v>15</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3393</v>
      </c>
      <c r="Q6" s="339"/>
      <c r="R6" s="281"/>
      <c r="S6" s="281"/>
      <c r="T6" s="281"/>
      <c r="U6" s="281"/>
      <c r="V6" s="281"/>
      <c r="W6" s="295"/>
      <c r="X6" s="0"/>
      <c r="Y6" s="0"/>
      <c r="Z6" s="0"/>
    </row>
    <row r="7" customFormat="false" ht="12.75" hidden="false" customHeight="false" outlineLevel="0" collapsed="false">
      <c r="A7" s="340" t="s">
        <v>3394</v>
      </c>
      <c r="B7" s="341" t="n">
        <v>89</v>
      </c>
      <c r="C7" s="342" t="n">
        <v>11</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14</v>
      </c>
      <c r="P8" s="356" t="n">
        <f aca="false">IF(ISERROR(AVERAGE(K23:K82)),"  ",AVERAGE(K23:K82))</f>
        <v>2.5</v>
      </c>
      <c r="Q8" s="357"/>
      <c r="R8" s="281"/>
      <c r="S8" s="281"/>
      <c r="T8" s="281"/>
      <c r="U8" s="281"/>
      <c r="V8" s="281"/>
      <c r="W8" s="295"/>
      <c r="X8" s="0"/>
      <c r="Y8" s="0"/>
      <c r="Z8" s="0"/>
    </row>
    <row r="9" customFormat="false" ht="12.75" hidden="false" customHeight="false" outlineLevel="0" collapsed="false">
      <c r="A9" s="314" t="s">
        <v>3400</v>
      </c>
      <c r="B9" s="358" t="n">
        <v>0.02</v>
      </c>
      <c r="C9" s="359"/>
      <c r="D9" s="360"/>
      <c r="E9" s="360"/>
      <c r="F9" s="361" t="n">
        <f aca="false">($B9*$B$7+$C9*$C$7)/100</f>
        <v>0.0178</v>
      </c>
      <c r="G9" s="362"/>
      <c r="H9" s="317"/>
      <c r="I9" s="281"/>
      <c r="J9" s="363"/>
      <c r="K9" s="364"/>
      <c r="L9" s="347"/>
      <c r="M9" s="365"/>
      <c r="N9" s="355" t="s">
        <v>3401</v>
      </c>
      <c r="O9" s="356" t="n">
        <f aca="false">IF(ISERROR(STDEVP(J23:J82))," ",STDEVP(J23:J82))</f>
        <v>1</v>
      </c>
      <c r="P9" s="356" t="n">
        <f aca="false">IF(ISERROR(STDEVP(K23:K82)),"  ",STDEVP(K23:K82))</f>
        <v>0.5</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2</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2</v>
      </c>
      <c r="M13" s="381"/>
      <c r="N13" s="389" t="s">
        <v>3413</v>
      </c>
      <c r="O13" s="390" t="n">
        <f aca="false">COUNTIF(F23:F82,"&gt;0")</f>
        <v>4</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2</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0.5</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0.025</v>
      </c>
      <c r="C20" s="433" t="n">
        <f aca="false">SUM(C23:C82)</f>
        <v>0</v>
      </c>
      <c r="D20" s="434"/>
      <c r="E20" s="435" t="s">
        <v>3426</v>
      </c>
      <c r="F20" s="436" t="n">
        <f aca="false">($B20*$B$7+$C20*$C$7)/100</f>
        <v>0.02225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0.02225</v>
      </c>
      <c r="C21" s="444" t="n">
        <f aca="false">C20*C7/100</f>
        <v>0</v>
      </c>
      <c r="D21" s="445" t="s">
        <v>3429</v>
      </c>
      <c r="E21" s="446"/>
      <c r="F21" s="447" t="n">
        <f aca="false">B21+C21</f>
        <v>0.02225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221</v>
      </c>
      <c r="B23" s="472" t="n">
        <v>0.01</v>
      </c>
      <c r="C23" s="473"/>
      <c r="D23" s="474" t="str">
        <f aca="false">IF(ISERROR(VLOOKUP($A23,'liste reference'!$A$6:$B$1174,2,0)),IF(ISERROR(VLOOKUP($A23,'liste reference'!$B$6:$B$1174,1,0)),"",VLOOKUP($A23,'liste reference'!$B$6:$B$1174,1,0)),VLOOKUP($A23,'liste reference'!$A$6:$B$1174,2,0))</f>
        <v>Leptolyngbya sp.</v>
      </c>
      <c r="E23" s="475" t="e">
        <f aca="false">IF(D23="",0,VLOOKUP(D23,D$22:D22,1,0))</f>
        <v>#N/A</v>
      </c>
      <c r="F23" s="476" t="n">
        <f aca="false">IF(AND(OR(A23="",A23="!!!!!!"),B23="",C23=""),"",IF(OR(AND(B23="",C23=""),ISERROR(C23+B23)),"!!!",($B23*$B$7+$C23*$C$7)/100))</f>
        <v>0.0089</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str">
        <f aca="false">IF(ISNUMBER($H23),IF(ISERROR(VLOOKUP($A23,'liste reference'!$A$6:$Q$1174,6,0)),IF(ISERROR(VLOOKUP($A23,'liste reference'!$B$6:$Q$1174,5,0)),"nu",VLOOKUP($A23,'liste reference'!$B$6:$Q$1174,5,0)),VLOOKUP($A23,'liste reference'!$A$6:$Q$1174,6,0)),"nu")</f>
        <v>nc</v>
      </c>
      <c r="K23" s="479" t="str">
        <f aca="false">IF(ISNUMBER($H23),IF(ISERROR(VLOOKUP($A23,'liste reference'!$A$6:$Q$1174,7,0)),IF(ISERROR(VLOOKUP($A23,'liste reference'!$B$6:$Q$1174,6,0)),"nu",VLOOKUP($A23,'liste reference'!$B$6:$Q$1174,6,0)),VLOOKUP($A23,'liste reference'!$A$6:$Q$1174,7,0)),"nu")</f>
        <v>nc</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Leptolyngbya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6449</v>
      </c>
      <c r="R23" s="484" t="n">
        <f aca="false">IF(ISTEXT(H23),"",(B23*$B$7/100)+(C23*$C$7/100))</f>
        <v>0.0089</v>
      </c>
      <c r="S23" s="485" t="n">
        <f aca="false">IF(OR(ISTEXT(H23),R23=0),"",IF(R23&lt;0.1,1,IF(R23&lt;1,2,IF(R23&lt;10,3,IF(R23&lt;50,4,IF(R23&gt;=50,5,""))))))</f>
        <v>1</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LETSPX</v>
      </c>
      <c r="Z23" s="470" t="n">
        <f aca="false">IF(ISERROR(MATCH(A23,'liste reference'!$A$6:$A$1174,0)),IF(ISERROR(MATCH(A23,'liste reference'!$B$6:$B$1174,0)),"",(MATCH(A23,'liste reference'!$B$6:$B$1174,0))),(MATCH(A23,'liste reference'!$A$6:$A$1174,0)))</f>
        <v>60</v>
      </c>
    </row>
    <row r="24" customFormat="false" ht="12.75" hidden="false" customHeight="false" outlineLevel="0" collapsed="false">
      <c r="A24" s="489" t="s">
        <v>398</v>
      </c>
      <c r="B24" s="490" t="n">
        <v>0.005</v>
      </c>
      <c r="C24" s="491"/>
      <c r="D24" s="492" t="str">
        <f aca="false">IF(ISERROR(VLOOKUP($A24,'liste reference'!$A$6:$B$1174,2,0)),IF(ISERROR(VLOOKUP($A24,'liste reference'!$B$6:$B$1174,1,0)),"",VLOOKUP($A24,'liste reference'!$B$6:$B$1174,1,0)),VLOOKUP($A24,'liste reference'!$A$6:$B$1174,2,0))</f>
        <v>Zygnema sp.</v>
      </c>
      <c r="E24" s="493" t="e">
        <f aca="false">IF(D24="",0,VLOOKUP(D24,D$22:D23,1,0))</f>
        <v>#N/A</v>
      </c>
      <c r="F24" s="494" t="n">
        <f aca="false">IF(AND(OR(A24="",A24="!!!!!!"),B24="",C24=""),"",IF(OR(AND(B24="",C24=""),ISERROR(C24+B24)),"!!!",($B24*$B$7+$C24*$C$7)/100))</f>
        <v>0.00445</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13</v>
      </c>
      <c r="K24" s="497" t="n">
        <f aca="false">IF(ISNUMBER($H24),IF(ISERROR(VLOOKUP($A24,'liste reference'!$A$6:$Q$1174,7,0)),IF(ISERROR(VLOOKUP($A24,'liste reference'!$B$6:$Q$1174,6,0)),"nu",VLOOKUP($A24,'liste reference'!$B$6:$Q$1174,6,0)),VLOOKUP($A24,'liste reference'!$A$6:$Q$1174,7,0)),"nu")</f>
        <v>3</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Zygnema sp.</v>
      </c>
      <c r="M24" s="498"/>
      <c r="N24" s="498"/>
      <c r="O24" s="498"/>
      <c r="P24" s="499" t="s">
        <v>3450</v>
      </c>
      <c r="Q24" s="500" t="n">
        <f aca="false">IF(OR($A24="NEWCOD",$A24="!!!!!!"),IF(X24="","NoCod",X24),IF($A24="","",IF(ISERROR(VLOOKUP($A24,'liste reference'!$A$6:$H$1174,8,0)),IF(ISERROR(VLOOKUP($A24,'liste reference'!$B$6:$H$1174,7,0)),"",VLOOKUP($A24,'liste reference'!$B$6:$H$1174,7,0)),VLOOKUP($A24,'liste reference'!$A$6:$H$1174,8,0))))</f>
        <v>1148</v>
      </c>
      <c r="R24" s="484" t="n">
        <f aca="false">IF(ISTEXT(H24),"",(B24*$B$7/100)+(C24*$C$7/100))</f>
        <v>0.00445</v>
      </c>
      <c r="S24" s="485" t="n">
        <f aca="false">IF(OR(ISTEXT(H24),R24=0),"",IF(R24&lt;0.1,1,IF(R24&lt;1,2,IF(R24&lt;10,3,IF(R24&lt;50,4,IF(R24&gt;=50,5,""))))))</f>
        <v>1</v>
      </c>
      <c r="T24" s="485" t="n">
        <f aca="false">IF(ISERROR(S24*J24),0,S24*J24)</f>
        <v>13</v>
      </c>
      <c r="U24" s="485" t="n">
        <f aca="false">IF(ISERROR(S24*J24*K24),0,S24*J24*K24)</f>
        <v>39</v>
      </c>
      <c r="V24" s="501" t="n">
        <f aca="false">IF(ISERROR(S24*K24),0,S24*K24)</f>
        <v>3</v>
      </c>
      <c r="W24" s="502"/>
      <c r="X24" s="503"/>
      <c r="Y24" s="488" t="str">
        <f aca="false">IF(AND(ISNUMBER(F24),OR(A24="",A24="!!!!!!")),"!!!!!!",IF(A24="new.cod","NEWCOD",IF(AND((Z24=""),ISTEXT(A24),A24&lt;&gt;"!!!!!!"),A24,IF(Z24="","",INDEX('liste reference'!$A$6:$A$1174,Z24)))))</f>
        <v>ZYGSPX</v>
      </c>
      <c r="Z24" s="470" t="n">
        <f aca="false">IF(ISERROR(MATCH(A24,'liste reference'!$A$6:$A$1174,0)),IF(ISERROR(MATCH(A24,'liste reference'!$B$6:$B$1174,0)),"",(MATCH(A24,'liste reference'!$B$6:$B$1174,0))),(MATCH(A24,'liste reference'!$A$6:$A$1174,0)))</f>
        <v>119</v>
      </c>
    </row>
    <row r="25" customFormat="false" ht="12.75" hidden="false" customHeight="false" outlineLevel="0" collapsed="false">
      <c r="A25" s="489" t="s">
        <v>781</v>
      </c>
      <c r="B25" s="490" t="n">
        <v>0.005</v>
      </c>
      <c r="C25" s="491"/>
      <c r="D25" s="492" t="str">
        <f aca="false">IF(ISERROR(VLOOKUP($A25,'liste reference'!$A$6:$B$1174,2,0)),IF(ISERROR(VLOOKUP($A25,'liste reference'!$B$6:$B$1174,1,0)),"",VLOOKUP($A25,'liste reference'!$B$6:$B$1174,1,0)),VLOOKUP($A25,'liste reference'!$A$6:$B$1174,2,0))</f>
        <v>Didymodon spadiceus</v>
      </c>
      <c r="E25" s="493" t="e">
        <f aca="false">IF(D25="",0,VLOOKUP(D25,D$22:D24,1,0))</f>
        <v>#N/A</v>
      </c>
      <c r="F25" s="494" t="n">
        <f aca="false">IF(AND(OR(A25="",A25="!!!!!!"),B25="",C25=""),"",IF(OR(AND(B25="",C25=""),ISERROR(C25+B25)),"!!!",($B25*$B$7+$C25*$C$7)/100))</f>
        <v>0.00445</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str">
        <f aca="false">IF(ISNUMBER($H25),IF(ISERROR(VLOOKUP($A25,'liste reference'!$A$6:$Q$1174,6,0)),IF(ISERROR(VLOOKUP($A25,'liste reference'!$B$6:$Q$1174,5,0)),"nu",VLOOKUP($A25,'liste reference'!$B$6:$Q$1174,5,0)),VLOOKUP($A25,'liste reference'!$A$6:$Q$1174,6,0)),"nu")</f>
        <v>nc</v>
      </c>
      <c r="K25" s="497" t="str">
        <f aca="false">IF(ISNUMBER($H25),IF(ISERROR(VLOOKUP($A25,'liste reference'!$A$6:$Q$1174,7,0)),IF(ISERROR(VLOOKUP($A25,'liste reference'!$B$6:$Q$1174,6,0)),"nu",VLOOKUP($A25,'liste reference'!$B$6:$Q$1174,6,0)),VLOOKUP($A25,'liste reference'!$A$6:$Q$1174,7,0)),"nu")</f>
        <v>nc</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Didymodon spadiceus</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19618</v>
      </c>
      <c r="R25" s="484" t="n">
        <f aca="false">IF(ISTEXT(H25),"",(B25*$B$7/100)+(C25*$C$7/100))</f>
        <v>0.00445</v>
      </c>
      <c r="S25" s="485" t="n">
        <f aca="false">IF(OR(ISTEXT(H25),R25=0),"",IF(R25&lt;0.1,1,IF(R25&lt;1,2,IF(R25&lt;10,3,IF(R25&lt;50,4,IF(R25&gt;=50,5,""))))))</f>
        <v>1</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DIDSPA</v>
      </c>
      <c r="Z25" s="470" t="n">
        <f aca="false">IF(ISERROR(MATCH(A25,'liste reference'!$A$6:$A$1174,0)),IF(ISERROR(MATCH(A25,'liste reference'!$B$6:$B$1174,0)),"",(MATCH(A25,'liste reference'!$B$6:$B$1174,0))),(MATCH(A25,'liste reference'!$A$6:$A$1174,0)))</f>
        <v>242</v>
      </c>
    </row>
    <row r="26" customFormat="false" ht="12.75" hidden="false" customHeight="false" outlineLevel="0" collapsed="false">
      <c r="A26" s="489" t="s">
        <v>1009</v>
      </c>
      <c r="B26" s="490" t="n">
        <v>0.005</v>
      </c>
      <c r="C26" s="491"/>
      <c r="D26" s="492" t="str">
        <f aca="false">IF(ISERROR(VLOOKUP($A26,'liste reference'!$A$6:$B$1174,2,0)),IF(ISERROR(VLOOKUP($A26,'liste reference'!$B$6:$B$1174,1,0)),"",VLOOKUP($A26,'liste reference'!$B$6:$B$1174,1,0)),VLOOKUP($A26,'liste reference'!$A$6:$B$1174,2,0))</f>
        <v>Palustriella commutata</v>
      </c>
      <c r="E26" s="493" t="e">
        <f aca="false">IF(D26="",0,VLOOKUP(D26,D$22:D25,1,0))</f>
        <v>#N/A</v>
      </c>
      <c r="F26" s="494" t="n">
        <f aca="false">IF(AND(OR(A26="",A26="!!!!!!"),B26="",C26=""),"",IF(OR(AND(B26="",C26=""),ISERROR(C26+B26)),"!!!",($B26*$B$7+$C26*$C$7)/100))</f>
        <v>0.00445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15</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Palustriella commutata</v>
      </c>
      <c r="M26" s="498"/>
      <c r="N26" s="498"/>
      <c r="O26" s="498"/>
      <c r="P26" s="499" t="s">
        <v>3450</v>
      </c>
      <c r="Q26" s="500" t="n">
        <f aca="false">IF(OR($A26="NEWCOD",$A26="!!!!!!"),IF(X26="","NoCod",X26),IF($A26="","",IF(ISERROR(VLOOKUP($A26,'liste reference'!$A$6:$H$1174,8,0)),IF(ISERROR(VLOOKUP($A26,'liste reference'!$B$6:$H$1174,7,0)),"",VLOOKUP($A26,'liste reference'!$B$6:$H$1174,7,0)),VLOOKUP($A26,'liste reference'!$A$6:$H$1174,8,0))))</f>
        <v>19903</v>
      </c>
      <c r="R26" s="484" t="n">
        <f aca="false">IF(ISTEXT(H26),"",(B26*$B$7/100)+(C26*$C$7/100))</f>
        <v>0.00445</v>
      </c>
      <c r="S26" s="485" t="n">
        <f aca="false">IF(OR(ISTEXT(H26),R26=0),"",IF(R26&lt;0.1,1,IF(R26&lt;1,2,IF(R26&lt;10,3,IF(R26&lt;50,4,IF(R26&gt;=50,5,""))))))</f>
        <v>1</v>
      </c>
      <c r="T26" s="485" t="n">
        <f aca="false">IF(ISERROR(S26*J26),0,S26*J26)</f>
        <v>15</v>
      </c>
      <c r="U26" s="485" t="n">
        <f aca="false">IF(ISERROR(S26*J26*K26),0,S26*J26*K26)</f>
        <v>30</v>
      </c>
      <c r="V26" s="501" t="n">
        <f aca="false">IF(ISERROR(S26*K26),0,S26*K26)</f>
        <v>2</v>
      </c>
      <c r="W26" s="502"/>
      <c r="X26" s="503"/>
      <c r="Y26" s="488" t="str">
        <f aca="false">IF(AND(ISNUMBER(F26),OR(A26="",A26="!!!!!!")),"!!!!!!",IF(A26="new.cod","NEWCOD",IF(AND((Z26=""),ISTEXT(A26),A26&lt;&gt;"!!!!!!"),A26,IF(Z26="","",INDEX('liste reference'!$A$6:$A$1174,Z26)))))</f>
        <v>PALCOM</v>
      </c>
      <c r="Z26" s="470" t="n">
        <f aca="false">IF(ISERROR(MATCH(A26,'liste reference'!$A$6:$A$1174,0)),IF(ISERROR(MATCH(A26,'liste reference'!$B$6:$B$1174,0)),"",(MATCH(A26,'liste reference'!$B$6:$B$1174,0))),(MATCH(A26,'liste reference'!$A$6:$A$1174,0)))</f>
        <v>309</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0.02225</v>
      </c>
      <c r="G83" s="424"/>
      <c r="H83" s="424"/>
      <c r="I83" s="424"/>
      <c r="J83" s="424"/>
      <c r="K83" s="424"/>
      <c r="L83" s="424"/>
      <c r="M83" s="485"/>
      <c r="N83" s="485"/>
      <c r="O83" s="485"/>
      <c r="P83" s="485"/>
      <c r="Q83" s="485"/>
      <c r="R83" s="485"/>
      <c r="S83" s="485"/>
      <c r="T83" s="485"/>
      <c r="U83" s="485"/>
      <c r="V83" s="485" t="n">
        <f aca="false">SUM(V23:V82)</f>
        <v>5</v>
      </c>
      <c r="W83" s="485"/>
      <c r="X83" s="523"/>
      <c r="Y83" s="523"/>
      <c r="Z83" s="524"/>
    </row>
    <row r="84" customFormat="false" ht="12.75" hidden="true" customHeight="false" outlineLevel="0" collapsed="false">
      <c r="A84" s="518" t="str">
        <f aca="false">A3</f>
        <v>SASSE</v>
      </c>
      <c r="B84" s="453" t="str">
        <f aca="false">C3</f>
        <v>SASSE A BAYONS 1</v>
      </c>
      <c r="C84" s="525" t="str">
        <f aca="false">A4</f>
        <v>(Date)</v>
      </c>
      <c r="D84" s="526" t="n">
        <f aca="false">IF(OR(ISERROR(SUM($U$23:$U$82)/SUM($V$23:$V$82)),F7&lt;&gt;100),-1,SUM($U$23:$U$82)/SUM($V$23:$V$82))</f>
        <v>13.8</v>
      </c>
      <c r="E84" s="527" t="n">
        <f aca="false">O13</f>
        <v>4</v>
      </c>
      <c r="F84" s="453" t="n">
        <f aca="false">O14</f>
        <v>2</v>
      </c>
      <c r="G84" s="453" t="n">
        <f aca="false">O15</f>
        <v>0</v>
      </c>
      <c r="H84" s="453" t="n">
        <f aca="false">O16</f>
        <v>1</v>
      </c>
      <c r="I84" s="453" t="n">
        <f aca="false">O17</f>
        <v>1</v>
      </c>
      <c r="J84" s="528" t="n">
        <f aca="false">O8</f>
        <v>14</v>
      </c>
      <c r="K84" s="529" t="n">
        <f aca="false">O9</f>
        <v>1</v>
      </c>
      <c r="L84" s="530" t="n">
        <f aca="false">O10</f>
        <v>13</v>
      </c>
      <c r="M84" s="530" t="n">
        <f aca="false">O11</f>
        <v>15</v>
      </c>
      <c r="N84" s="529" t="n">
        <f aca="false">P8</f>
        <v>2.5</v>
      </c>
      <c r="O84" s="529" t="n">
        <f aca="false">P9</f>
        <v>0.5</v>
      </c>
      <c r="P84" s="530" t="n">
        <f aca="false">P10</f>
        <v>2</v>
      </c>
      <c r="Q84" s="530" t="n">
        <f aca="false">P11</f>
        <v>3</v>
      </c>
      <c r="R84" s="530" t="n">
        <f aca="false">F21</f>
        <v>0.02225</v>
      </c>
      <c r="S84" s="530" t="n">
        <f aca="false">L11</f>
        <v>0</v>
      </c>
      <c r="T84" s="530" t="n">
        <f aca="false">L12</f>
        <v>2</v>
      </c>
      <c r="U84" s="530" t="n">
        <f aca="false">L13</f>
        <v>2</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13</v>
      </c>
      <c r="U87" s="281"/>
      <c r="V87" s="281"/>
    </row>
    <row r="88" customFormat="false" ht="12.75" hidden="true" customHeight="false" outlineLevel="0" collapsed="false">
      <c r="C88" s="534"/>
      <c r="D88" s="534"/>
      <c r="E88" s="534"/>
      <c r="R88" s="281" t="s">
        <v>3453</v>
      </c>
      <c r="S88" s="281"/>
      <c r="T88" s="536" t="n">
        <f aca="false">VLOOKUP($T$91,($A$23:$U$82),21,0)</f>
        <v>39</v>
      </c>
      <c r="U88" s="281"/>
      <c r="V88" s="281" t="n">
        <f aca="false">COUNTIF(V23:V82,T89)</f>
        <v>1</v>
      </c>
    </row>
    <row r="89" customFormat="false" ht="12.75" hidden="true" customHeight="false" outlineLevel="0" collapsed="false">
      <c r="C89" s="534"/>
      <c r="D89" s="534"/>
      <c r="E89" s="534"/>
      <c r="R89" s="281" t="s">
        <v>3454</v>
      </c>
      <c r="S89" s="281"/>
      <c r="T89" s="536" t="n">
        <f aca="false">MAX($V$23:$V$82)</f>
        <v>3</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15</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ZYGSPX</v>
      </c>
      <c r="U91" s="281" t="n">
        <f aca="false">IF(ISERROR(MATCH($T$93,'liste reference'!$A$6:$A$1174,0)),MATCH($T$93,'liste reference'!$B$6:$B$1174,0),(MATCH($T$93,'liste reference'!$A$6:$A$1174,0)))</f>
        <v>119</v>
      </c>
      <c r="V91" s="538"/>
    </row>
    <row r="92" customFormat="false" ht="12.75" hidden="true" customHeight="false" outlineLevel="0" collapsed="false">
      <c r="C92" s="534"/>
      <c r="D92" s="534"/>
      <c r="E92" s="534"/>
      <c r="R92" s="281" t="s">
        <v>3457</v>
      </c>
      <c r="S92" s="281"/>
      <c r="T92" s="281" t="n">
        <f aca="false">MATCH(T89,$V$23:$V$82,0)</f>
        <v>2</v>
      </c>
      <c r="U92" s="281"/>
    </row>
    <row r="93" customFormat="false" ht="12.75" hidden="true" customHeight="false" outlineLevel="0" collapsed="false">
      <c r="C93" s="534"/>
      <c r="D93" s="534"/>
      <c r="E93" s="534"/>
      <c r="R93" s="485" t="s">
        <v>3458</v>
      </c>
      <c r="S93" s="281"/>
      <c r="T93" s="485" t="str">
        <f aca="false">INDEX($A$23:$A$82,$T$92)</f>
        <v>ZYGSPX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3459</v>
      </c>
      <c r="B2" s="286"/>
      <c r="C2" s="287" t="s">
        <v>3460</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3461</v>
      </c>
      <c r="B3" s="286"/>
      <c r="C3" s="285" t="s">
        <v>3462</v>
      </c>
      <c r="D3" s="296"/>
      <c r="E3" s="296"/>
      <c r="F3" s="297"/>
      <c r="G3" s="297"/>
      <c r="H3" s="296"/>
      <c r="I3" s="281"/>
      <c r="J3" s="288"/>
      <c r="K3" s="298"/>
      <c r="L3" s="299" t="s">
        <v>3463</v>
      </c>
      <c r="M3" s="300"/>
      <c r="N3" s="301" t="s">
        <v>3464</v>
      </c>
      <c r="O3" s="302"/>
      <c r="P3" s="302"/>
      <c r="Q3" s="303"/>
      <c r="R3" s="281"/>
      <c r="S3" s="281"/>
      <c r="T3" s="281"/>
      <c r="U3" s="281"/>
      <c r="V3" s="281"/>
      <c r="W3" s="295"/>
      <c r="X3" s="0"/>
      <c r="Y3" s="0"/>
      <c r="Z3" s="0"/>
    </row>
    <row r="4" customFormat="false" ht="13.5" hidden="false" customHeight="false" outlineLevel="0" collapsed="false">
      <c r="A4" s="304" t="s">
        <v>3381</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3465</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3450</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3450</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3450</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3450</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3450</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3450</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3450</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3450</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3450</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3450</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3450</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3450</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3450</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3450</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3450</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3450</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3450</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3450</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3450</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3450</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3450</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3450</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3450</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3450</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3450</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3450</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3450</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3450</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3450</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3450</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3450</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3450</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3450</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3450</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3450</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3450</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3450</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3450</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3450</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3450</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3450</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3450</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3450</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3450</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3450</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3450</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3450</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3450</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3450</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3450</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3450</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3450</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3450</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3450</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3450</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3450</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3450</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3450</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3450</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3450</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3451</v>
      </c>
      <c r="S86" s="281"/>
      <c r="T86" s="536"/>
      <c r="U86" s="281"/>
      <c r="V86" s="281"/>
    </row>
    <row r="87" customFormat="false" ht="12.75" hidden="true" customHeight="false" outlineLevel="0" collapsed="false">
      <c r="C87" s="534"/>
      <c r="D87" s="534"/>
      <c r="E87" s="534"/>
      <c r="R87" s="281" t="s">
        <v>3452</v>
      </c>
      <c r="S87" s="281"/>
      <c r="T87" s="536" t="n">
        <f aca="false">VLOOKUP($T$91,($A$23:$U$82),20,0)</f>
        <v>0</v>
      </c>
      <c r="U87" s="281"/>
      <c r="V87" s="281"/>
    </row>
    <row r="88" customFormat="false" ht="12.75" hidden="true" customHeight="false" outlineLevel="0" collapsed="false">
      <c r="C88" s="534"/>
      <c r="D88" s="534"/>
      <c r="E88" s="534"/>
      <c r="R88" s="281" t="s">
        <v>3453</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3454</v>
      </c>
      <c r="S89" s="281"/>
      <c r="T89" s="536" t="n">
        <f aca="false">MAX($V$23:$V$82)</f>
        <v>0</v>
      </c>
      <c r="U89" s="281"/>
      <c r="V89" s="0"/>
    </row>
    <row r="90" customFormat="false" ht="12.75" hidden="true" customHeight="false" outlineLevel="0" collapsed="false">
      <c r="C90" s="534"/>
      <c r="D90" s="534"/>
      <c r="E90" s="534"/>
      <c r="R90" s="281" t="s">
        <v>3455</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3456</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3457</v>
      </c>
      <c r="S92" s="281"/>
      <c r="T92" s="281" t="n">
        <f aca="false">MATCH(T89,$V$23:$V$82,0)</f>
        <v>1</v>
      </c>
      <c r="U92" s="281"/>
    </row>
    <row r="93" customFormat="false" ht="12.75" hidden="true" customHeight="false" outlineLevel="0" collapsed="false">
      <c r="C93" s="534"/>
      <c r="D93" s="534"/>
      <c r="E93" s="534"/>
      <c r="R93" s="485" t="s">
        <v>3458</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true" showInputMessage="false" sqref="B7:E7 H7 J7:K7 H9:H11 J9:K9 J10 H12:H18 B20:D20 G20:H20 J20:K20" type="whole">
      <formula1>"g"</formula1>
      <formula2>100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3466</v>
      </c>
      <c r="B1" s="541"/>
      <c r="C1" s="541"/>
      <c r="D1" s="541"/>
      <c r="E1" s="542" t="s">
        <v>3467</v>
      </c>
      <c r="F1" s="543" t="s">
        <v>3468</v>
      </c>
      <c r="G1" s="544"/>
      <c r="H1" s="544"/>
      <c r="I1" s="545"/>
      <c r="J1" s="545"/>
      <c r="K1" s="545"/>
      <c r="L1" s="546"/>
    </row>
    <row r="2" customFormat="false" ht="15" hidden="false" customHeight="false" outlineLevel="0" collapsed="false">
      <c r="A2" s="547" t="s">
        <v>3469</v>
      </c>
      <c r="B2" s="548"/>
      <c r="C2" s="549"/>
      <c r="D2" s="549"/>
      <c r="E2" s="550"/>
      <c r="F2" s="543" t="s">
        <v>3470</v>
      </c>
      <c r="G2" s="544"/>
      <c r="H2" s="544"/>
      <c r="I2" s="545"/>
      <c r="J2" s="545"/>
      <c r="K2" s="545"/>
      <c r="L2" s="546"/>
    </row>
    <row r="3" customFormat="false" ht="15.75" hidden="false" customHeight="false" outlineLevel="0" collapsed="false">
      <c r="A3" s="547" t="s">
        <v>3471</v>
      </c>
      <c r="B3" s="548"/>
      <c r="C3" s="549"/>
      <c r="D3" s="551" t="s">
        <v>3472</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3473</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3474</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3450</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3403</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2017-07-27T15:26:55Z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