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3650" sheetId="6" state="visible" r:id="rId8"/>
    <sheet name="jgjg" sheetId="7" state="hidden" r:id="rId9"/>
    <sheet name="liste codes réf" sheetId="8" state="hidden" r:id="rId10"/>
  </sheets>
  <definedNames>
    <definedName function="false" hidden="false" localSheetId="5" name="_xlnm.Print_Area" vbProcedure="false">'06153650'!$A$1:$Q$82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'06153650'!$A$1:$Q$82</definedName>
    <definedName function="false" hidden="false" localSheetId="5" name="_xlnm__FilterDatabase" vbProcedure="false">'06153650'!$A$1:$C$1415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<sst xmlns="http://schemas.openxmlformats.org/spreadsheetml/2006/main" count="8824" uniqueCount="3497">
  <si>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</si>
  <si>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</si>
  <si>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</si>
  <si>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</si>
  <si>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</si>
  <si>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</si>
  <si>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</si>
  <si>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</si>
  <si>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</si>
  <si>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</si>
  <si>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</si>
  <si>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</si>
  <si>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</si>
  <si>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</si>
  <si>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</si>
  <si>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</si>
  <si>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</si>
  <si>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</si>
  <si>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</si>
  <si>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</si>
  <si>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</si>
  <si>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</si>
  <si>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</si>
  <si>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</si>
  <si>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</si>
  <si>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</si>
  <si>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</si>
  <si>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</si>
  <si>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</si>
  <si>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</si>
  <si>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</si>
  <si>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</si>
  <si>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</si>
  <si>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</si>
  <si>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</si>
  <si>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</si>
  <si>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</si>
  <si>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</si>
  <si>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</si>
  <si>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</si>
  <si>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</si>
  <si>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</si>
  <si>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</si>
  <si>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</si>
  <si>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</si>
  <si>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</si>
  <si>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</si>
  <si>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</si>
  <si>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</si>
  <si>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</si>
  <si>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</si>
  <si>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</si>
  <si>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</si>
  <si>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</si>
  <si>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</si>
  <si>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</si>
  <si>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</si>
  <si>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</si>
  <si>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</si>
  <si>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</si>
  <si>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</si>
  <si>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</si>
  <si>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</si>
  <si>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</si>
  <si>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</si>
  <si>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</si>
  <si>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</si>
  <si>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</si>
  <si>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</si>
  <si>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</si>
  <si>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</si>
  <si>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</si>
  <si>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</si>
  <si>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</si>
  <si>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</si>
  <si>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</si>
  <si>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</si>
  <si>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</si>
  <si>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</si>
  <si>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</si>
  <si>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</si>
  <si>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</si>
  <si>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</si>
  <si>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</si>
  <si>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</si>
  <si>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</si>
  <si>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</si>
  <si>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</si>
  <si>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</si>
  <si>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</si>
  <si>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</si>
  <si>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</si>
  <si>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</si>
  <si>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</si>
  <si>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</si>
  <si>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</si>
  <si>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</si>
  <si>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</si>
  <si>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</si>
  <si>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</si>
  <si>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</si>
  <si>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</si>
  <si>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</si>
  <si>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</si>
  <si>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</si>
  <si>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</si>
  <si>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</si>
  <si>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</si>
  <si>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</si>
  <si>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</si>
  <si>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</si>
  <si>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</si>
  <si>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</si>
  <si>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</si>
  <si>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</si>
  <si>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</si>
  <si>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</si>
  <si>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</si>
  <si>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</si>
  <si>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</si>
  <si>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</si>
  <si>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</si>
  <si>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</si>
  <si>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</si>
  <si>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</si>
  <si>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</si>
  <si>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</si>
  <si>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</si>
  <si>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</si>
  <si>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</si>
  <si>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</si>
  <si>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</si>
  <si>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</si>
  <si>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</si>
  <si>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</si>
  <si>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</si>
  <si>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</si>
  <si>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</si>
  <si>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</si>
  <si>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</si>
  <si>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</si>
  <si>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</si>
  <si>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</si>
  <si>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</si>
  <si>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</si>
  <si>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</si>
  <si>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</si>
  <si>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</si>
  <si>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</si>
  <si>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</si>
  <si>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</si>
  <si>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</si>
  <si>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</si>
  <si>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</si>
  <si>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</si>
  <si>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</si>
  <si>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</si>
  <si>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</si>
  <si>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</si>
  <si>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</si>
  <si>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</si>
  <si>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</si>
  <si>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</si>
  <si>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</si>
  <si>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</si>
  <si>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</si>
  <si>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</si>
  <si>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</si>
  <si>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</si>
  <si>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</si>
  <si>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</si>
  <si>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</si>
  <si>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</si>
  <si>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</si>
  <si>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</si>
  <si>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</si>
  <si>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</si>
  <si>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</si>
  <si>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</si>
  <si>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</si>
  <si>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</si>
  <si>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</si>
  <si>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</si>
  <si>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</si>
  <si>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</si>
  <si>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</si>
  <si>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</si>
  <si>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</si>
  <si>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</si>
  <si>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</si>
  <si>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</si>
  <si>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</si>
  <si>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</si>
  <si>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</si>
  <si>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</si>
  <si>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</si>
  <si>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</si>
  <si>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</si>
  <si>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</si>
  <si>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</si>
  <si>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</si>
  <si>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</si>
  <si>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</si>
  <si>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</si>
  <si>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</si>
  <si>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</si>
  <si>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</si>
  <si>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</si>
  <si>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</si>
  <si>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</si>
  <si>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</si>
  <si>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</si>
  <si>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</si>
  <si>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</si>
  <si>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</si>
  <si>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</si>
  <si>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</si>
  <si>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</si>
  <si>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</si>
  <si>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</si>
  <si>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</si>
  <si>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</si>
  <si>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</si>
  <si>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</si>
  <si>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</si>
  <si>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</si>
  <si>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</si>
  <si>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</si>
  <si>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</si>
  <si>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</si>
  <si>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</si>
  <si>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</si>
  <si>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</si>
  <si>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</si>
  <si>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</si>
  <si>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</si>
  <si>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</si>
  <si>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</si>
  <si>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</si>
  <si>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</si>
  <si>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</si>
  <si>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</si>
  <si>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</si>
  <si>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</si>
  <si>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</si>
  <si>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</si>
  <si>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</si>
  <si>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</si>
  <si>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</si>
  <si>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</si>
  <si>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</si>
  <si>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</si>
  <si>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</si>
  <si>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</si>
  <si>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</si>
  <si>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</si>
  <si>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</si>
  <si>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</si>
  <si>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</si>
  <si>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</si>
  <si>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</si>
  <si>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</si>
  <si>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</si>
  <si>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</si>
  <si>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</si>
  <si>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</si>
  <si>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</si>
  <si>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</si>
  <si>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</si>
  <si>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</si>
  <si>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</si>
  <si>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</si>
  <si>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</si>
  <si>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</si>
  <si>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</si>
  <si>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</si>
  <si>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</si>
  <si>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</si>
  <si>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</si>
  <si>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</si>
  <si>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</si>
  <si>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</si>
  <si>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</si>
  <si>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</si>
  <si>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</si>
  <si>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</si>
  <si>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</si>
  <si>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</si>
  <si>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</si>
  <si>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</si>
  <si>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</si>
  <si>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</si>
  <si>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</si>
  <si>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</si>
  <si>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</si>
  <si>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</si>
  <si>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</si>
  <si>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</si>
  <si>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</si>
  <si>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</si>
  <si>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</si>
  <si>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</si>
  <si>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</si>
  <si>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</si>
  <si>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</si>
  <si>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</si>
  <si>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</si>
  <si>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</si>
  <si>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</si>
  <si>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</si>
  <si>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</si>
  <si>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</si>
  <si>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</si>
  <si>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</si>
  <si>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</si>
  <si>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</si>
  <si>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</si>
  <si>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</si>
  <si>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</si>
  <si>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</si>
  <si>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</si>
  <si>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</si>
  <si>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</si>
  <si>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</si>
  <si>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</si>
  <si>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</si>
  <si>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</si>
  <si>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</si>
  <si>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</si>
  <si>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</si>
  <si>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</si>
  <si>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</si>
  <si>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</si>
  <si>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</si>
  <si>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</si>
  <si>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</si>
  <si>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</si>
  <si>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</si>
  <si>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</si>
  <si>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</si>
  <si>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</si>
  <si>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</si>
  <si>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</si>
  <si>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</si>
  <si>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</si>
  <si>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</si>
  <si>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</si>
  <si>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</si>
  <si>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</si>
  <si>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</si>
  <si>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</si>
  <si>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</si>
  <si>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</si>
  <si>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</si>
  <si>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</si>
  <si>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</si>
  <si>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</si>
  <si>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</si>
  <si>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</si>
  <si>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</si>
  <si>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</si>
  <si>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</si>
  <si>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</si>
  <si>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</si>
  <si>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</si>
  <si>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</si>
  <si>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</si>
  <si>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</si>
  <si>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</si>
  <si>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</si>
  <si>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</si>
  <si>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</si>
  <si>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</si>
  <si>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</si>
  <si>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</si>
  <si>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</si>
  <si>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</si>
  <si>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</si>
  <si>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</si>
  <si>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</si>
  <si>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</si>
  <si>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</si>
  <si>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</si>
  <si>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</si>
  <si>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</si>
  <si>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</si>
  <si>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</si>
  <si>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</si>
  <si>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</si>
  <si>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</si>
  <si>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</si>
  <si>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</si>
  <si>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</si>
  <si>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</si>
  <si>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</si>
  <si>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</si>
  <si>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</si>
  <si>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</si>
  <si>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</si>
  <si>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</si>
  <si>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</si>
  <si>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</si>
  <si>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</si>
  <si>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</si>
  <si>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</si>
  <si>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</si>
  <si>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</si>
  <si>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</si>
  <si>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</si>
  <si>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</si>
  <si>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</si>
  <si>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</si>
  <si>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</si>
  <si>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</si>
  <si>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</si>
  <si>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</si>
  <si>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</si>
  <si>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</si>
  <si>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</si>
  <si>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</si>
  <si>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</si>
  <si>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</si>
  <si>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</si>
  <si>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</si>
  <si>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</si>
  <si>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</si>
  <si>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</si>
  <si>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</si>
  <si>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</si>
  <si>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</si>
  <si>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</si>
  <si>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</si>
  <si>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</si>
  <si>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</si>
  <si>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</si>
  <si>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</si>
  <si>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</si>
  <si>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</si>
  <si>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</si>
  <si>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</si>
  <si>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</si>
  <si>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</si>
  <si>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</si>
  <si>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</si>
  <si>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</si>
  <si>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</si>
  <si>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</si>
  <si>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</si>
  <si>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</si>
  <si>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</si>
  <si>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</si>
  <si>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</si>
  <si>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</si>
  <si>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</si>
  <si>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</si>
  <si>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</si>
  <si>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</si>
  <si>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</si>
  <si>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</si>
  <si>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</si>
  <si>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</si>
  <si>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</si>
  <si>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</si>
  <si>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</si>
  <si>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</si>
  <si>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</si>
  <si>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</si>
  <si>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</si>
  <si>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</si>
  <si>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</si>
  <si>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</si>
  <si>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</si>
  <si>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</si>
  <si>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</si>
  <si>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</si>
  <si>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</si>
  <si>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</si>
  <si>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</si>
  <si>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</si>
  <si>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</si>
  <si>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</si>
  <si>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</si>
  <si>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</si>
  <si>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</si>
  <si>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</si>
  <si>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</si>
  <si>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</si>
  <si>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</si>
  <si>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</si>
  <si>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</si>
  <si>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</si>
  <si>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</si>
  <si>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</si>
  <si>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</si>
  <si>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</si>
  <si>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</si>
  <si>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</si>
  <si>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</si>
  <si>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</si>
  <si>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</si>
  <si>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</si>
  <si>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</si>
  <si>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</si>
  <si>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</si>
  <si>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</si>
  <si>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</si>
  <si>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</si>
  <si>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</si>
  <si>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</si>
  <si>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</si>
  <si>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</si>
  <si>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</si>
  <si>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</si>
  <si>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</si>
  <si>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</si>
  <si>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</si>
  <si>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</si>
  <si>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</si>
  <si>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</si>
  <si>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</si>
  <si>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</si>
  <si>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</si>
  <si>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</si>
  <si>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</si>
  <si>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</si>
  <si>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</si>
  <si>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</si>
  <si>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</si>
  <si>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</si>
  <si>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</si>
  <si>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</si>
  <si>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</si>
  <si>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</si>
  <si>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</si>
  <si>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</si>
  <si>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</si>
  <si>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</si>
  <si>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</si>
  <si>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</si>
  <si>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</si>
  <si>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</si>
  <si>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</si>
  <si>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</si>
  <si>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</si>
  <si>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</si>
  <si>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</si>
  <si>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</si>
  <si>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</si>
  <si>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</si>
  <si>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</si>
  <si>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</si>
  <si>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</si>
  <si>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</si>
  <si>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</si>
  <si>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</si>
  <si>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</si>
  <si>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</si>
  <si>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</si>
  <si>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</si>
  <si>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</si>
  <si>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</si>
  <si>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</si>
  <si>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</si>
  <si>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</si>
  <si>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</si>
  <si>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</si>
  <si>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</si>
  <si>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</si>
  <si>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</si>
  <si>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</si>
  <si>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</si>
  <si>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</si>
  <si>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</si>
  <si>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</si>
  <si>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</si>
  <si>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</si>
  <si>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</si>
  <si>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</si>
  <si>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</si>
  <si>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</si>
  <si>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</si>
  <si>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</si>
  <si>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</si>
  <si>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</si>
  <si>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</si>
  <si>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</si>
  <si>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</si>
  <si>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</si>
  <si>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</si>
  <si>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</si>
  <si>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</si>
  <si>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</si>
  <si>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</si>
  <si>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</si>
  <si>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</si>
  <si>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</si>
  <si>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</si>
  <si>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</si>
  <si>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</si>
  <si>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</si>
  <si>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</si>
  <si>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</si>
  <si>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</si>
  <si>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</si>
  <si>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</si>
  <si>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</si>
  <si>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</si>
  <si>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</si>
  <si>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</si>
  <si>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</si>
  <si>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</si>
  <si>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</si>
  <si>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</si>
  <si>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</si>
  <si>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</si>
  <si>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</si>
  <si>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</si>
  <si>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</si>
  <si>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</si>
  <si>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</si>
  <si>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</si>
  <si>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</si>
  <si>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</si>
  <si>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</si>
  <si>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</si>
  <si>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</si>
  <si>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</si>
  <si>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</si>
  <si>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</si>
  <si>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</si>
  <si>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</si>
  <si>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</si>
  <si>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</si>
  <si>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</si>
  <si>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</si>
  <si>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</si>
  <si>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</si>
  <si>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</si>
  <si>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</si>
  <si>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</si>
  <si>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</si>
  <si>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</si>
  <si>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</si>
  <si>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</si>
  <si>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</si>
  <si>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</si>
  <si>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</si>
  <si>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</si>
  <si>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</si>
  <si>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</si>
  <si>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</si>
  <si>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</si>
  <si>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</si>
  <si>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</si>
  <si>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</si>
  <si>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</si>
  <si>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</si>
  <si>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</si>
  <si>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</si>
  <si>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</si>
  <si>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</si>
  <si>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</si>
  <si>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</si>
  <si>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</si>
  <si>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</si>
  <si>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</si>
  <si>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</si>
  <si>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</si>
  <si>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</si>
  <si>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</si>
  <si>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</si>
  <si>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</si>
  <si>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</si>
  <si>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</si>
  <si>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</si>
  <si>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</si>
  <si>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</si>
  <si>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</si>
  <si>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</si>
  <si>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</si>
  <si>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</si>
  <si>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</si>
  <si>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</si>
  <si>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</si>
  <si>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</si>
  <si>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</si>
  <si>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</si>
  <si>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</si>
  <si>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</si>
  <si>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</si>
  <si>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</si>
  <si>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</si>
  <si>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</si>
  <si>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</si>
  <si>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</si>
  <si>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</si>
  <si>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</si>
  <si>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</si>
  <si>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</si>
  <si>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</si>
  <si>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</si>
  <si>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</si>
  <si>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</si>
  <si>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</si>
  <si>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</si>
  <si>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</si>
  <si>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</si>
  <si>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</si>
  <si>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</si>
  <si>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</si>
  <si>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</si>
  <si>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</si>
  <si>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</si>
  <si>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</si>
  <si>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</si>
  <si>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</si>
  <si>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</si>
  <si>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</si>
  <si>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</si>
  <si>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</si>
  <si>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</si>
  <si>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</si>
  <si>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</si>
  <si>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</si>
  <si>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</si>
  <si>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</si>
  <si>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</si>
  <si>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</si>
  <si>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</si>
  <si>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</si>
  <si>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</si>
  <si>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</si>
  <si>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</si>
  <si>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</si>
  <si>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</si>
  <si>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</si>
  <si>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</si>
  <si>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</si>
  <si>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</si>
  <si>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</si>
  <si>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</si>
  <si>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</si>
  <si>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</si>
  <si>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</si>
  <si>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</si>
  <si>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</si>
  <si>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</si>
  <si>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</si>
  <si>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</si>
  <si>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</si>
  <si>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</si>
  <si>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</si>
  <si>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</si>
  <si>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</si>
  <si>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</si>
  <si>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</si>
  <si>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</si>
  <si>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</si>
  <si>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</si>
  <si>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</si>
  <si>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</si>
  <si>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</si>
  <si>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</si>
  <si>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</si>
  <si>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</si>
  <si>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</si>
  <si>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</si>
  <si>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</si>
  <si>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</si>
  <si>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</si>
  <si>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</si>
  <si>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</si>
  <si>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</si>
  <si>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</si>
  <si>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</si>
  <si>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</si>
  <si>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</si>
  <si>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</si>
  <si>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</si>
  <si>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</si>
  <si>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</si>
  <si>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</si>
  <si>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</si>
  <si>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</si>
  <si>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</si>
  <si>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</si>
  <si>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</si>
  <si>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</si>
  <si>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</si>
  <si>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</si>
  <si>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</si>
  <si>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</si>
  <si>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</si>
  <si>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</si>
  <si>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</si>
  <si>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</si>
  <si>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</si>
  <si>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</si>
  <si>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</si>
  <si>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</si>
  <si>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</si>
  <si>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</si>
  <si>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</si>
  <si>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</si>
  <si>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</si>
  <si>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</si>
  <si>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</si>
  <si>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</si>
  <si>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</si>
  <si>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</si>
  <si>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</si>
  <si>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</si>
  <si>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</si>
  <si>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</si>
  <si>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</si>
  <si>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</si>
  <si>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</si>
  <si>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</si>
  <si>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</si>
  <si>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</si>
  <si>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</si>
  <si>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</si>
  <si>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</si>
  <si>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</si>
  <si>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</si>
  <si>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</si>
  <si>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</si>
  <si>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</si>
  <si>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</si>
  <si>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</si>
  <si>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</si>
  <si>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</si>
  <si>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</si>
  <si>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</si>
  <si>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</si>
  <si>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</si>
  <si>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</si>
  <si>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</si>
  <si>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</si>
  <si>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</si>
  <si>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</si>
  <si>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</si>
  <si>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</si>
  <si>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</si>
  <si>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</si>
  <si>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</si>
  <si>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</si>
  <si>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</si>
  <si>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</si>
  <si>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</si>
  <si>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</si>
  <si>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</si>
  <si>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</si>
  <si>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</si>
  <si>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</si>
  <si>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</si>
  <si>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</si>
  <si>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</si>
  <si>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</si>
  <si>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</si>
  <si>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</si>
  <si>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</si>
  <si>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</si>
  <si>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</si>
  <si>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</si>
  <si>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</si>
  <si>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</si>
  <si>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</si>
  <si>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</si>
  <si>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</si>
  <si>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</si>
  <si>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</si>
  <si>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</si>
  <si>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</si>
  <si>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</si>
  <si>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</si>
  <si>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</si>
  <si>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</si>
  <si>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</si>
  <si>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</si>
  <si>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</si>
  <si>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</si>
  <si>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</si>
  <si>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</si>
  <si>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</si>
  <si>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</si>
  <si>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</si>
  <si>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</si>
  <si>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</si>
  <si>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</si>
  <si>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</si>
  <si>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</si>
  <si>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</si>
  <si>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</si>
  <si>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</si>
  <si>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</si>
  <si>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</si>
  <si>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</si>
  <si>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</si>
  <si>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</si>
  <si>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</si>
  <si>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</si>
  <si>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</si>
  <si>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</si>
  <si>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</si>
  <si>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</si>
  <si>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</si>
  <si>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</si>
  <si>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</si>
  <si>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</si>
  <si>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</si>
  <si>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</si>
  <si>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</si>
  <si>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</si>
  <si>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</si>
  <si>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</si>
  <si>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</si>
  <si>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</si>
  <si>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</si>
  <si>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</si>
  <si>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</si>
  <si>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</si>
  <si>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</si>
  <si>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</si>
  <si>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</si>
  <si>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</si>
  <si>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</si>
  <si>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</si>
  <si>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</si>
  <si>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</si>
  <si>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</si>
  <si>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</si>
  <si>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</si>
  <si>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</si>
  <si>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</si>
  <si>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</si>
  <si>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</si>
  <si>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</si>
  <si>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</si>
  <si>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</si>
  <si>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</si>
  <si>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</si>
  <si>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</si>
  <si>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</si>
  <si>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</si>
  <si>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</si>
  <si>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</si>
  <si>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</si>
  <si>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</si>
  <si>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</si>
  <si>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</si>
  <si>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</si>
  <si>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</si>
  <si>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</si>
  <si>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</si>
  <si>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</si>
  <si>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</si>
  <si>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</si>
  <si>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</si>
  <si>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</si>
  <si>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</si>
  <si>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</si>
  <si>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</si>
  <si>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</si>
  <si>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</si>
  <si>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</si>
  <si>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</si>
  <si>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</si>
  <si>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</si>
  <si>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</si>
  <si>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</si>
  <si>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</si>
  <si>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</si>
  <si>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</si>
  <si>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</si>
  <si>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</si>
  <si>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</si>
  <si>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</si>
  <si>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</si>
  <si>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</si>
  <si>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</si>
  <si>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</si>
  <si>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</si>
  <si>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</si>
  <si>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</si>
  <si>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</si>
  <si>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</si>
  <si>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</si>
  <si>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</si>
  <si>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</si>
  <si>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</si>
  <si>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</si>
  <si>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</si>
  <si>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</si>
  <si>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</si>
  <si>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</si>
  <si>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</si>
  <si>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</si>
  <si>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</si>
  <si>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</si>
  <si>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</si>
  <si>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</si>
  <si>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</si>
  <si>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</si>
  <si>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</si>
  <si>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</si>
  <si>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</si>
  <si>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</si>
  <si>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</si>
  <si>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</si>
  <si>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</si>
  <si>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</si>
  <si>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</si>
  <si>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</si>
  <si>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</si>
  <si>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</si>
  <si>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</si>
  <si>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</si>
  <si>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</si>
  <si>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</si>
  <si>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</si>
  <si>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</si>
  <si>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</si>
  <si>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</si>
  <si>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</si>
  <si>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</si>
  <si>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</si>
  <si>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</si>
  <si>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</si>
  <si>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</si>
  <si>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</si>
  <si>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</si>
  <si>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</si>
  <si>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</si>
  <si>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</si>
  <si>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</si>
  <si>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</si>
  <si>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</si>
  <si>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</si>
  <si>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</si>
  <si>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</si>
  <si>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</si>
  <si>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</si>
  <si>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</si>
  <si>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</si>
  <si>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</si>
  <si>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</si>
  <si>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</si>
  <si>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</si>
  <si>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</si>
  <si>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</si>
  <si>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</si>
  <si>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</si>
  <si>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</si>
  <si>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</si>
  <si>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</si>
  <si>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</si>
  <si>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</si>
  <si>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</si>
  <si>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</si>
  <si>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</si>
  <si>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</si>
  <si>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</si>
  <si>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</si>
  <si>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</si>
  <si>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</si>
  <si>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</si>
  <si>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</si>
  <si>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</si>
  <si>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</si>
  <si>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</si>
  <si>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</si>
  <si>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</si>
  <si>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</si>
  <si>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</si>
  <si>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</si>
  <si>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</si>
  <si>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</si>
  <si>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</si>
  <si>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</si>
  <si>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</si>
  <si>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</si>
  <si>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</si>
  <si>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</si>
  <si>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</si>
  <si>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</si>
  <si>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</si>
  <si>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</si>
  <si>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</si>
  <si>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</si>
  <si>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</si>
  <si>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</si>
  <si>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</si>
  <si>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</si>
  <si>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</si>
  <si>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</si>
  <si>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</si>
  <si>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</si>
  <si>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</si>
  <si>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</si>
  <si>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</si>
  <si>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</si>
  <si>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</si>
  <si>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</si>
  <si>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</si>
  <si>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</si>
  <si>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</si>
  <si>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</si>
  <si>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</si>
  <si>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</si>
  <si>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</si>
  <si>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</si>
  <si>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</si>
  <si>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</si>
  <si>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</si>
  <si>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</si>
  <si>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</si>
  <si>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</si>
  <si>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</si>
  <si>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</si>
  <si>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</si>
  <si>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</si>
  <si>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</si>
  <si>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</si>
  <si>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</si>
  <si>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</si>
  <si>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</si>
  <si>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</si>
  <si>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</si>
  <si>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</si>
  <si>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</si>
  <si>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</si>
  <si>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</si>
  <si>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</si>
  <si>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</si>
  <si>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</si>
  <si>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</si>
  <si>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</si>
  <si>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</si>
  <si>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</si>
  <si>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</si>
  <si>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</si>
  <si>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</si>
  <si>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</si>
  <si>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</si>
  <si>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</si>
  <si>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</si>
  <si>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</si>
  <si>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</si>
  <si>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</si>
  <si>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</si>
  <si>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</si>
  <si>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</si>
  <si>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</si>
  <si>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</si>
  <si>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</si>
  <si>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</si>
  <si>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</si>
  <si>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</si>
  <si>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</si>
  <si>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</si>
  <si>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</si>
  <si>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</si>
  <si>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</si>
  <si>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</si>
  <si>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</si>
  <si>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</si>
  <si>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</si>
  <si>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</si>
  <si>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</si>
  <si>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</si>
  <si>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</si>
  <si>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</si>
  <si>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</si>
  <si>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</si>
  <si>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</si>
  <si>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</si>
  <si>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</si>
  <si>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</si>
  <si>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</si>
  <si>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</si>
  <si>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</si>
  <si>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</si>
  <si>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</si>
  <si>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</si>
  <si>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</si>
  <si>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</si>
  <si>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</si>
  <si>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</si>
  <si>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</si>
  <si>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</si>
  <si>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</si>
  <si>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</si>
  <si>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</si>
  <si>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</si>
  <si>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</si>
  <si>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</si>
  <si>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</si>
  <si>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</si>
  <si>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</si>
  <si>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</si>
  <si>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</si>
  <si>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</si>
  <si>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</si>
  <si>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</si>
  <si>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</si>
  <si>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</si>
  <si>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</si>
  <si>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</si>
  <si>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</si>
  <si>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</si>
  <si>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</si>
  <si>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</si>
  <si>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</si>
  <si>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</si>
  <si>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</si>
  <si>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</si>
  <si>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</si>
  <si>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</si>
  <si>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</si>
  <si>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</si>
  <si>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</si>
  <si>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</si>
  <si>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</si>
  <si>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</si>
  <si>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</si>
  <si>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</si>
  <si>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</si>
  <si>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</si>
  <si>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</si>
  <si>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</si>
  <si>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</si>
  <si>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</si>
  <si>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</si>
  <si>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</si>
  <si>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</si>
  <si>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</si>
  <si>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</si>
  <si>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</si>
  <si>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</si>
  <si>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</si>
  <si>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</si>
  <si>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</si>
  <si>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</si>
  <si>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</si>
  <si>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</si>
  <si>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</si>
  <si>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</si>
  <si>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</si>
  <si>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</si>
  <si>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</si>
  <si>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</si>
  <si>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</si>
  <si>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</si>
  <si>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</si>
  <si>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</si>
  <si>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</si>
  <si>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</si>
  <si>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</si>
  <si>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</si>
  <si>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</si>
  <si>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</si>
  <si>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</si>
  <si>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</si>
  <si>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</si>
  <si>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</si>
  <si>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</si>
  <si>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</si>
  <si>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</si>
  <si>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</si>
  <si>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</si>
  <si>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</si>
  <si>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</si>
  <si>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</si>
  <si>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</si>
  <si>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</si>
  <si>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</si>
  <si>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</si>
  <si>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</si>
  <si>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</si>
  <si>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</si>
  <si>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</si>
  <si>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</si>
  <si>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</si>
  <si>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</si>
  <si>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</si>
  <si>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</si>
  <si>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</si>
  <si>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</si>
  <si>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</si>
  <si>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</si>
  <si>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</si>
  <si>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</si>
  <si>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</si>
  <si>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</si>
  <si>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</si>
  <si>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</si>
  <si>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</si>
  <si>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</si>
  <si>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</si>
  <si>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</si>
  <si>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</si>
  <si>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</si>
  <si>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</si>
  <si>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</si>
  <si>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</si>
  <si>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</si>
  <si>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</si>
  <si>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</si>
  <si>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</si>
  <si>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</si>
  <si>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</si>
  <si>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</si>
  <si>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</si>
  <si>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</si>
  <si>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</si>
  <si>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</si>
  <si>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</si>
  <si>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</si>
  <si>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</si>
  <si>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</si>
  <si>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</si>
  <si>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</si>
  <si>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</si>
  <si>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</si>
  <si>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</si>
  <si>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</si>
  <si>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</si>
  <si>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</si>
  <si>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</si>
  <si>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</si>
  <si>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</si>
  <si>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</si>
  <si>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</si>
  <si>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</si>
  <si>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</si>
  <si>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</si>
  <si>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</si>
  <si>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</si>
  <si>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</si>
  <si>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</si>
  <si>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</si>
  <si>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</si>
  <si>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</si>
  <si>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</si>
  <si>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</si>
  <si>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</si>
  <si>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</si>
  <si>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</si>
  <si>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</si>
  <si>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</si>
  <si>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</si>
  <si>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</si>
  <si>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</si>
  <si>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</si>
  <si>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</si>
  <si>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</si>
  <si>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</si>
  <si>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</si>
  <si>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</si>
  <si>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</si>
  <si>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</si>
  <si>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</si>
  <si>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</si>
  <si>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</si>
  <si>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</si>
  <si>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</si>
  <si>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</si>
  <si>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</si>
  <si>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</si>
  <si>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</si>
  <si>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</si>
  <si>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</si>
  <si>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</si>
  <si>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</si>
  <si>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</si>
  <si>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</si>
  <si>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</si>
  <si>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</si>
  <si>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</si>
  <si>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</si>
  <si>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</si>
  <si>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</si>
  <si>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</si>
  <si>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</si>
  <si>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</si>
  <si>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</si>
  <si>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</si>
  <si>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</si>
  <si>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</si>
  <si>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</si>
  <si>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</si>
  <si>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</si>
  <si>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</si>
  <si>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</si>
  <si>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</si>
  <si>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</si>
  <si>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</si>
  <si>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</si>
  <si>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</si>
  <si>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</si>
  <si>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</si>
  <si>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</si>
  <si>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</si>
  <si>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</si>
  <si>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</si>
  <si>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</si>
  <si>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</si>
  <si>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</si>
  <si>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</si>
  <si>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</si>
  <si>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</si>
  <si>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</si>
  <si>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</si>
  <si>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</si>
  <si>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</si>
  <si>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</si>
  <si>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</si>
  <si>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</si>
  <si>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</si>
  <si>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</si>
  <si>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</si>
  <si>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</si>
  <si>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</si>
  <si>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</si>
  <si>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</si>
  <si>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</si>
  <si>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</si>
  <si>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</si>
  <si>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</si>
  <si>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</si>
  <si>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</si>
  <si>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</si>
  <si>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</si>
  <si>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</si>
  <si>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</si>
  <si>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</si>
  <si>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</si>
  <si>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</si>
  <si>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</si>
  <si>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</si>
  <si>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</si>
  <si>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</si>
  <si>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</si>
  <si>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</si>
  <si>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</si>
  <si>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</si>
  <si>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</si>
  <si>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</si>
  <si>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</si>
  <si>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</si>
  <si>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</si>
  <si>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</si>
  <si>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</si>
  <si>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</si>
  <si>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</si>
  <si>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</si>
  <si>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</si>
  <si>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</si>
  <si>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</si>
  <si>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</si>
  <si>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</si>
  <si>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</si>
  <si>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</si>
  <si>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</si>
  <si>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</si>
  <si>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</si>
  <si>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</si>
  <si>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</si>
  <si>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</si>
  <si>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</si>
  <si>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</si>
  <si>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</si>
  <si>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</si>
  <si>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</si>
  <si>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</si>
  <si>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</si>
  <si>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</si>
  <si>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</si>
  <si>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</si>
  <si>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</si>
  <si>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</si>
  <si>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</si>
  <si>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</si>
  <si>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</si>
  <si>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</si>
  <si>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</si>
  <si>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</si>
  <si>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</si>
  <si>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</si>
  <si>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</si>
  <si>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</si>
  <si>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</si>
  <si>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</si>
  <si>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</si>
  <si>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</si>
  <si>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</si>
  <si>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</si>
  <si>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</si>
  <si>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</si>
  <si>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</si>
  <si>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</si>
  <si>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</si>
  <si>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</si>
  <si>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</si>
  <si>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</si>
  <si>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</si>
  <si>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</si>
  <si>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</si>
  <si>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</si>
  <si>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</si>
  <si>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</si>
  <si>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</si>
  <si>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</si>
  <si>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</si>
  <si>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</si>
  <si>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</si>
  <si>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</si>
  <si>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</si>
  <si>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</si>
  <si>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</si>
  <si>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</si>
  <si>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</si>
  <si>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</si>
  <si>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</si>
  <si>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</si>
  <si>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</si>
  <si>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</si>
  <si>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</si>
  <si>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</si>
  <si>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</si>
  <si>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</si>
  <si>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</si>
  <si>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</si>
  <si>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</si>
  <si>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</si>
  <si>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</si>
  <si>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</si>
  <si>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</si>
  <si>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</si>
  <si>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</si>
  <si>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</si>
  <si>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</si>
  <si>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</si>
  <si>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</si>
  <si>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</si>
  <si>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</si>
  <si>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</si>
  <si>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</si>
  <si>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</si>
  <si>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</si>
  <si>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</si>
  <si>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</si>
  <si>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</si>
  <si>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</si>
  <si>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</si>
  <si>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</si>
  <si>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</si>
  <si>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</si>
  <si>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</si>
  <si>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</si>
  <si>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</si>
  <si>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</si>
  <si>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</si>
  <si>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</si>
  <si>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</si>
  <si>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</si>
  <si>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</si>
  <si>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</si>
  <si>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</si>
  <si>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</si>
  <si>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</si>
  <si>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</si>
  <si>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</si>
  <si>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</si>
  <si>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</si>
  <si>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</si>
  <si>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</si>
  <si>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</si>
  <si>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</si>
  <si>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</si>
  <si>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</si>
  <si>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</si>
  <si>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</si>
  <si>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</si>
  <si>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</si>
  <si>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</si>
  <si>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</si>
  <si>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</si>
  <si>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</si>
  <si>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</si>
  <si>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</si>
  <si>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</si>
  <si>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</si>
  <si>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</si>
  <si>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</si>
  <si>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</si>
  <si>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</si>
  <si>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</si>
  <si>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</si>
  <si>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</si>
  <si>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</si>
  <si>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</si>
  <si>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</si>
  <si>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</si>
  <si>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</si>
  <si>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</si>
  <si>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</si>
  <si>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</si>
  <si>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</si>
  <si>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</si>
  <si>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</si>
  <si>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</si>
  <si>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</si>
  <si>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</si>
  <si>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</si>
  <si>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</si>
  <si>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</si>
  <si>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</si>
  <si>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</si>
  <si>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</si>
  <si>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</si>
  <si>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</si>
  <si>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</si>
  <si>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</si>
  <si>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</si>
  <si>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</si>
  <si>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</si>
  <si>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</si>
  <si>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</si>
  <si>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</si>
  <si>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</si>
  <si>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</si>
  <si>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</si>
  <si>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</si>
  <si>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</si>
  <si>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</si>
  <si>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</si>
  <si>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</si>
  <si>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</si>
  <si>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</si>
  <si>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</si>
  <si>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</si>
  <si>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</si>
  <si>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</si>
  <si>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</si>
  <si>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</si>
  <si>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</si>
  <si>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</si>
  <si>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</si>
  <si>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</si>
  <si>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</si>
  <si>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</si>
  <si>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</si>
  <si>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</si>
  <si>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</si>
  <si>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</si>
  <si>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</si>
  <si>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</si>
  <si>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</si>
  <si>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</si>
  <si>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</si>
  <si>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</si>
  <si>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</si>
  <si>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</si>
  <si>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</si>
  <si>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</si>
  <si>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</si>
  <si>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</si>
  <si>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</si>
  <si>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</si>
  <si>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</si>
  <si>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</si>
  <si>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</si>
  <si>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</si>
  <si>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</si>
  <si>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</si>
  <si>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</si>
  <si>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</si>
  <si>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</si>
  <si>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</si>
  <si>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</si>
  <si>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</si>
  <si>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</si>
  <si>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</si>
  <si>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</si>
  <si>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</si>
  <si>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</si>
  <si>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</si>
  <si>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</si>
  <si>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</si>
  <si>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</si>
  <si>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</si>
  <si>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</si>
  <si>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</si>
  <si>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</si>
  <si>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</si>
  <si>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</si>
  <si>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</si>
  <si>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</si>
  <si>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</si>
  <si>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</si>
  <si>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</si>
  <si>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</si>
  <si>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</si>
  <si>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</si>
  <si>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</si>
  <si>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</si>
  <si>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</si>
  <si>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</si>
  <si>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</si>
  <si>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</si>
  <si>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</si>
  <si>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</si>
  <si>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</si>
  <si>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</si>
  <si>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</si>
  <si>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</si>
  <si>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</si>
  <si>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</si>
  <si>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</si>
  <si>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</si>
  <si>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</si>
  <si>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</si>
  <si>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</si>
  <si>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</si>
  <si>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</si>
  <si>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</si>
  <si>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</si>
  <si>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</si>
  <si>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</si>
  <si>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</si>
  <si>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</si>
  <si>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</si>
  <si>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</si>
  <si>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</si>
  <si>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</si>
  <si>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</si>
  <si>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</si>
  <si>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</si>
  <si>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</si>
  <si>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</si>
  <si>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</si>
  <si>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</si>
  <si>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</si>
  <si>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</si>
  <si>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</si>
  <si>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</si>
  <si>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</si>
  <si>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</si>
  <si>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</si>
  <si>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</si>
  <si>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</si>
  <si>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</si>
  <si>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</si>
  <si>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</si>
  <si>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</si>
  <si>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</si>
  <si>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</si>
  <si>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</si>
  <si>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</si>
  <si>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</si>
  <si>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</si>
  <si>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</si>
  <si>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</si>
  <si>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</si>
  <si>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</si>
  <si>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</si>
  <si>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</si>
  <si>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</si>
  <si>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</si>
  <si>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</si>
  <si>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</si>
  <si>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</si>
  <si>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</si>
  <si>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</si>
  <si>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</si>
  <si>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</si>
  <si>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</si>
  <si>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</si>
  <si>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</si>
  <si>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</si>
  <si>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</si>
  <si>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</si>
  <si>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</si>
  <si>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</si>
  <si>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</si>
  <si>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</si>
  <si>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</si>
  <si>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</si>
  <si>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</si>
  <si>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</si>
  <si>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</si>
  <si>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</si>
  <si>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</si>
  <si>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</si>
  <si>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</si>
  <si>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</si>
  <si>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</si>
  <si>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</si>
  <si>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</si>
  <si>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</si>
  <si>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</si>
  <si>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</si>
  <si>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</si>
  <si>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</si>
  <si>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</si>
  <si>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</si>
  <si>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</si>
  <si>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</si>
  <si>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</si>
  <si>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</si>
  <si>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</si>
  <si>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</si>
  <si>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</si>
  <si>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</si>
  <si>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</si>
  <si>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</si>
  <si>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</si>
  <si>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</si>
  <si>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</si>
  <si>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</si>
  <si>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</si>
  <si>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</si>
  <si>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</si>
  <si>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</si>
  <si>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</si>
  <si>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</si>
  <si>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</si>
  <si>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</si>
  <si>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</si>
  <si>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</si>
  <si>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</si>
  <si>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</si>
  <si>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</si>
  <si>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</si>
  <si>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</si>
  <si>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</si>
  <si>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</si>
  <si>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</si>
  <si>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</si>
  <si>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</si>
  <si>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</si>
  <si>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</si>
  <si>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</si>
  <si>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</si>
  <si>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</si>
  <si>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</si>
  <si>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</si>
  <si>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</si>
  <si>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</si>
  <si>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</si>
  <si>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</si>
  <si>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</si>
  <si>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</si>
  <si>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</si>
  <si>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</si>
  <si>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</si>
  <si>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</si>
  <si>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</si>
  <si>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</si>
  <si>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</si>
  <si>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</si>
  <si>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</si>
  <si>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</si>
  <si>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</si>
  <si>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</si>
  <si>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</si>
  <si>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</si>
  <si>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</si>
  <si>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</si>
  <si>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</si>
  <si>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</si>
  <si>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</si>
  <si>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</si>
  <si>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</si>
  <si>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</si>
  <si>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</si>
  <si>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</si>
  <si>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</si>
  <si>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</si>
  <si>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</si>
  <si>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</si>
  <si>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</si>
  <si>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</si>
  <si>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</si>
  <si>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</si>
  <si>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</si>
  <si>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</si>
  <si>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</si>
  <si>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</si>
  <si>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</si>
  <si>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</si>
  <si>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</si>
  <si>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</si>
  <si>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</si>
  <si>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</si>
  <si>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</si>
  <si>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</si>
  <si>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</si>
  <si>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</si>
  <si>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</si>
  <si>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</si>
  <si>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</si>
  <si>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</si>
  <si>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</si>
  <si>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</si>
  <si>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</si>
  <si>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</si>
  <si>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</si>
  <si>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</si>
  <si>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</si>
  <si>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</si>
  <si>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</si>
  <si>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</si>
  <si>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</si>
  <si>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</si>
  <si>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</si>
  <si>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</si>
  <si>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</si>
  <si>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</si>
  <si>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</si>
  <si>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</si>
  <si>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</si>
  <si>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</si>
  <si>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</si>
  <si>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</si>
  <si>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</si>
  <si>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</si>
  <si>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</si>
  <si>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</si>
  <si>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</si>
  <si>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</si>
  <si>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</si>
  <si>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</si>
  <si>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</si>
  <si>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</si>
  <si>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</si>
  <si>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</si>
  <si>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</si>
  <si>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</si>
  <si>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</si>
  <si>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</si>
  <si>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</si>
  <si>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</si>
  <si>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</si>
  <si>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</si>
  <si>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</si>
  <si>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</si>
  <si>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</si>
  <si>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</si>
  <si>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</si>
  <si>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</si>
  <si>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</si>
  <si>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</si>
  <si>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</si>
  <si>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</si>
  <si>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</si>
  <si>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</si>
  <si>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</si>
  <si>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</si>
  <si>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</si>
  <si>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</si>
  <si>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</si>
  <si>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</si>
  <si>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</si>
  <si>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</si>
  <si>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</si>
  <si>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</si>
  <si>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</si>
  <si>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</si>
  <si>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</si>
  <si>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</si>
  <si>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</si>
  <si>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</si>
  <si>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</si>
  <si>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</si>
  <si>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</si>
  <si>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</si>
  <si>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</si>
  <si>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</si>
  <si>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</si>
  <si>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</si>
  <si>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</si>
  <si>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</si>
  <si>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</si>
  <si>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</si>
  <si>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</si>
  <si>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</si>
  <si>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</si>
  <si>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</si>
  <si>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</si>
  <si>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</si>
  <si>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</si>
  <si>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</si>
  <si>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</si>
  <si>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</si>
  <si>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</si>
  <si>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</si>
  <si>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</si>
  <si>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</si>
  <si>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</si>
  <si>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</si>
  <si>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</si>
  <si>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</si>
  <si>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</si>
  <si>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</si>
  <si>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</si>
  <si>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</si>
  <si>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</si>
  <si>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</si>
  <si>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</si>
  <si>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</si>
  <si>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</si>
  <si>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</si>
  <si>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</si>
  <si>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</si>
  <si>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</si>
  <si>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</si>
  <si>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</si>
  <si>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</si>
  <si>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</si>
  <si>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</si>
  <si>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</si>
  <si>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</si>
  <si>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</si>
  <si>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</si>
  <si>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</si>
  <si>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</si>
  <si>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</si>
  <si>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</si>
  <si>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</si>
  <si>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</si>
  <si>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</si>
  <si>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</si>
  <si>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</si>
  <si>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</si>
  <si>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</si>
  <si>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</si>
  <si>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</si>
  <si>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</si>
  <si>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</si>
  <si>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</si>
  <si>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</si>
  <si>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</si>
  <si>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</si>
  <si>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</si>
  <si>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</si>
  <si>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</si>
  <si>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</si>
  <si>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</si>
  <si>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</si>
  <si>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</si>
  <si>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</si>
  <si>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</si>
  <si>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</si>
  <si>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</si>
  <si>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</si>
  <si>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</si>
  <si>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</si>
  <si>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</si>
  <si>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</si>
  <si>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</si>
  <si>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</si>
  <si>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</si>
  <si>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</si>
  <si>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</si>
  <si>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</si>
  <si>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</si>
  <si>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</si>
  <si>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</si>
  <si>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</si>
  <si>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</si>
  <si>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</si>
  <si>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</si>
  <si>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</si>
  <si>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</si>
  <si>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</si>
  <si>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</si>
  <si>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</si>
  <si>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</si>
  <si>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</si>
  <si>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</si>
  <si>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</si>
  <si>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</si>
  <si>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</si>
  <si>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</si>
  <si>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</si>
  <si>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</si>
  <si>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</si>
  <si>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</si>
  <si>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</si>
  <si>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</si>
  <si>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</si>
  <si>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</si>
  <si>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</si>
  <si>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</si>
  <si>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</si>
  <si>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</si>
  <si>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</si>
  <si>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</si>
  <si>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</si>
  <si>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</si>
  <si>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</si>
  <si>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</si>
  <si>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</si>
  <si>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</si>
  <si>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</si>
  <si>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</si>
  <si>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</si>
  <si>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</si>
  <si>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</si>
  <si>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</si>
  <si>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</si>
  <si>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</si>
  <si>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</si>
  <si>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</si>
  <si>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</si>
  <si>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</si>
  <si>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</si>
  <si>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</si>
  <si>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</si>
  <si>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</si>
  <si>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</si>
  <si>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</si>
  <si>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</si>
  <si>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</si>
  <si>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</si>
  <si>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</si>
  <si>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</si>
  <si>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</si>
  <si>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</si>
  <si>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</si>
  <si>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</si>
  <si>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</si>
  <si>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</si>
  <si>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</si>
  <si>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</si>
  <si>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</si>
  <si>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</si>
  <si>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</si>
  <si>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</si>
  <si>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</si>
  <si>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</si>
  <si>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</si>
  <si>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</si>
  <si>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</si>
  <si>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</si>
  <si>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</si>
  <si>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</si>
  <si>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</si>
  <si>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</si>
  <si>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</si>
  <si>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</si>
  <si>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</si>
  <si>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</si>
  <si>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</si>
  <si>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</si>
  <si>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</si>
  <si>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</si>
  <si>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</si>
  <si>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</si>
  <si>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</si>
  <si>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</si>
  <si>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</si>
  <si>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</si>
  <si>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</si>
  <si>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</si>
  <si>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</si>
  <si>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</si>
  <si>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</si>
  <si>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</si>
  <si>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</si>
  <si>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</si>
  <si>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</si>
  <si>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</si>
  <si>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</si>
  <si>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</si>
  <si>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</si>
  <si>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</si>
  <si>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</si>
  <si>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</si>
  <si>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</si>
  <si>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</si>
  <si>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</si>
  <si>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</si>
  <si>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</si>
  <si>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</si>
  <si>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</si>
  <si>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</si>
  <si>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</si>
  <si>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</si>
  <si>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</si>
  <si>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</si>
  <si>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</si>
  <si>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</si>
  <si>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</si>
  <si>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</si>
  <si>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</si>
  <si>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</si>
  <si>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</si>
  <si>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</si>
  <si>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</si>
  <si>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</si>
  <si>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</si>
  <si>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</si>
  <si>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</si>
  <si>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</si>
  <si>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</si>
  <si>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</si>
  <si>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</si>
  <si>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</si>
  <si>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</si>
  <si>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</si>
  <si>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</si>
  <si>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</si>
  <si>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</si>
  <si>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</si>
  <si>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</si>
  <si>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</si>
  <si>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</si>
  <si>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</si>
  <si>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</si>
  <si>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</si>
  <si>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</si>
  <si>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</si>
  <si>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</si>
  <si>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</si>
  <si>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</si>
  <si>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</si>
  <si>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</si>
  <si>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</si>
  <si>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</si>
  <si>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</si>
  <si>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</si>
  <si>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</si>
  <si>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</si>
  <si>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</si>
  <si>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</si>
  <si>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</si>
  <si>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</si>
  <si>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</si>
  <si>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</si>
  <si>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</si>
  <si>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</si>
  <si>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</si>
  <si>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</si>
  <si>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</si>
  <si>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</si>
  <si>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</si>
  <si>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</si>
  <si>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</si>
  <si>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</si>
  <si>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</si>
  <si>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</si>
  <si>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</si>
  <si>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</si>
  <si>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</si>
  <si>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</si>
  <si>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</si>
  <si>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</si>
  <si>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</si>
  <si>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</si>
  <si>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</si>
  <si>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</si>
  <si>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</si>
  <si>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</si>
  <si>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</si>
  <si>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</si>
  <si>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</si>
  <si>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</si>
  <si>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</si>
  <si>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</si>
  <si>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</si>
  <si>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</si>
  <si>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</si>
  <si>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</si>
  <si>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</si>
  <si>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</si>
  <si>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</si>
  <si>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</si>
  <si>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</si>
  <si>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</si>
  <si>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</si>
  <si>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</si>
  <si>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</si>
  <si>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</si>
  <si>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</si>
  <si>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</si>
  <si>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</si>
  <si>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</si>
  <si>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</si>
  <si>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</si>
  <si>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</si>
  <si>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</si>
  <si>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</si>
  <si>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</si>
  <si>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</si>
  <si>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</si>
  <si>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</si>
  <si>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</si>
  <si>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</si>
  <si>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</si>
  <si>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</si>
  <si>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</si>
  <si>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</si>
  <si>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</si>
  <si>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</si>
  <si>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</si>
  <si>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</si>
  <si>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</si>
  <si>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</si>
  <si>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</si>
  <si>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</si>
  <si>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</si>
  <si>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</si>
  <si>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</si>
  <si>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</si>
  <si>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</si>
  <si>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</si>
  <si>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</si>
  <si>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</si>
  <si>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</si>
  <si>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</si>
  <si>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</si>
  <si>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</si>
  <si>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</si>
  <si>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</si>
  <si>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</si>
  <si>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</si>
  <si>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</si>
  <si>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</si>
  <si>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</si>
  <si>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</si>
  <si>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</si>
  <si>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</si>
  <si>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</si>
  <si>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</si>
  <si>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</si>
  <si>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</si>
  <si>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</si>
  <si>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</si>
  <si>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</si>
  <si>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</si>
  <si>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</si>
  <si>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</si>
  <si>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</si>
  <si>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</si>
  <si>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</si>
  <si>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</si>
  <si>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</si>
  <si>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</si>
  <si>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</si>
  <si>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</si>
  <si>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</si>
  <si>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</si>
  <si>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</si>
  <si>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</si>
  <si>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</si>
  <si>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</si>
  <si>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</si>
  <si>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</si>
  <si>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</si>
  <si>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</si>
  <si>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</si>
  <si>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</si>
  <si>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</si>
  <si>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</si>
  <si>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</si>
  <si>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</si>
  <si>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</si>
  <si>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</si>
  <si>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</si>
  <si>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</si>
  <si>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</si>
  <si>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</si>
  <si>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</si>
  <si>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</si>
  <si>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</si>
  <si>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</si>
  <si>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</si>
  <si>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</si>
  <si>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</si>
  <si>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</si>
  <si>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</si>
  <si>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</si>
  <si>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</si>
  <si>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</si>
  <si>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</si>
  <si>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</si>
  <si>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</si>
  <si>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</si>
  <si>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</si>
  <si>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</si>
  <si>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</si>
  <si>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</si>
  <si>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</si>
  <si>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</si>
  <si>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</si>
  <si>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</si>
  <si>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</si>
  <si>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</si>
  <si>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</si>
  <si>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</si>
  <si>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</si>
  <si>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</si>
  <si>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</si>
  <si>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</si>
  <si>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</si>
  <si>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</si>
  <si>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</si>
  <si>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</si>
  <si>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</si>
  <si>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</si>
  <si>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</si>
  <si>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</si>
  <si>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</si>
  <si>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</si>
  <si>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</si>
  <si>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</si>
  <si>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</si>
  <si>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</si>
  <si>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</si>
  <si>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</si>
  <si>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</si>
  <si>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</si>
  <si>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</si>
  <si>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</si>
  <si>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</si>
  <si>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</si>
  <si>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</si>
  <si>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</si>
  <si>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</si>
  <si>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</si>
  <si>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</si>
  <si>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</si>
  <si>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</si>
  <si>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</si>
  <si>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</si>
  <si>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</si>
  <si>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</si>
  <si>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</si>
  <si>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</si>
  <si>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</si>
  <si>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</si>
  <si>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</si>
  <si>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</si>
  <si>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</si>
  <si>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</si>
  <si>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</si>
  <si>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</si>
  <si>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</si>
  <si>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</si>
  <si>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</si>
  <si>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</si>
  <si>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</si>
  <si>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</si>
  <si>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</si>
  <si>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</si>
  <si>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</si>
  <si>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</si>
  <si>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</si>
  <si>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</si>
  <si>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</si>
  <si>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</si>
  <si>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</si>
  <si>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</si>
  <si>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</si>
  <si>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</si>
  <si>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</si>
  <si>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</si>
  <si>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</si>
  <si>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</si>
  <si>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</si>
  <si>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</si>
  <si>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</si>
  <si>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</si>
  <si>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</si>
  <si>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</si>
  <si>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</si>
  <si>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</si>
  <si>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</si>
  <si>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</si>
  <si>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</si>
  <si>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</si>
  <si>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</si>
  <si>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</si>
  <si>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</si>
  <si>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</si>
  <si>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</si>
  <si>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</si>
  <si>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</si>
  <si>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</si>
  <si>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</si>
  <si>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</si>
  <si>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</si>
  <si>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</si>
  <si>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</si>
  <si>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</si>
  <si>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</si>
  <si>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</si>
  <si>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</si>
  <si>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</si>
  <si>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</si>
  <si>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</si>
  <si>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</si>
  <si>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</si>
  <si>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</si>
  <si>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</si>
  <si>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</si>
  <si>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</si>
  <si>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</si>
  <si>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</si>
  <si>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</si>
  <si>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</si>
  <si>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</si>
  <si>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</si>
  <si>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</si>
  <si>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</si>
  <si>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</si>
  <si>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</si>
  <si>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</si>
  <si>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</si>
  <si>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</si>
  <si>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</si>
  <si>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</si>
  <si>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</si>
  <si>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</si>
  <si>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</si>
  <si>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</si>
  <si>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</si>
  <si>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</si>
  <si>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</si>
  <si>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</si>
  <si>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</si>
  <si>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</si>
  <si>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</si>
  <si>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</si>
  <si>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</si>
  <si>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</si>
  <si>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</si>
  <si>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</si>
  <si>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</si>
  <si>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</si>
  <si>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</si>
  <si>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</si>
  <si>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</si>
  <si>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</si>
  <si>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</si>
  <si>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</si>
  <si>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</si>
  <si>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</si>
  <si>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</si>
  <si>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</si>
  <si>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</si>
  <si>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</si>
  <si>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</si>
  <si>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</si>
  <si>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</si>
  <si>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</si>
  <si>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</si>
  <si>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</si>
  <si>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</si>
  <si>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</si>
  <si>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</si>
  <si>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</si>
  <si>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</si>
  <si>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</si>
  <si>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</si>
  <si>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</si>
  <si>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</si>
  <si>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</si>
  <si>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</si>
  <si>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</si>
  <si>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</si>
  <si>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</si>
  <si>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</si>
  <si>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</si>
  <si>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</si>
  <si>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</si>
  <si>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</si>
  <si>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</si>
  <si>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</si>
  <si>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</si>
  <si>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</si>
  <si>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</si>
  <si>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</si>
  <si>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</si>
  <si>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</si>
  <si>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</si>
  <si>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</si>
  <si>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</si>
  <si>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</si>
  <si>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</si>
  <si>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</si>
  <si>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</si>
  <si>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</si>
  <si>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</si>
  <si>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</si>
  <si>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</si>
  <si>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</si>
  <si>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</si>
  <si>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</si>
  <si>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</si>
  <si>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</si>
  <si>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</si>
  <si>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</si>
  <si>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</si>
  <si>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</si>
  <si>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</si>
  <si>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</si>
  <si>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</si>
  <si>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</si>
  <si>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</si>
  <si>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</si>
  <si>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</si>
  <si>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</si>
  <si>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</si>
  <si>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</si>
  <si>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</si>
  <si>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</si>
  <si>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</si>
  <si>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</si>
  <si>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</si>
  <si>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</si>
  <si>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</si>
  <si>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</si>
  <si>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</si>
  <si>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</si>
  <si>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</si>
  <si>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</si>
  <si>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</si>
  <si>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</si>
  <si>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</si>
  <si>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</si>
  <si>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</si>
  <si>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</si>
  <si>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</si>
  <si>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</si>
  <si>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</si>
  <si>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</si>
  <si>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</si>
  <si>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</si>
  <si>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</si>
  <si>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</si>
  <si>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</si>
  <si>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</si>
  <si>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</si>
  <si>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</si>
  <si>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</si>
  <si>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</si>
  <si>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</si>
  <si>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</si>
  <si>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</si>
  <si>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</si>
  <si>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</si>
  <si>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</si>
  <si>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</si>
  <si>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</si>
  <si>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</si>
  <si>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</si>
  <si>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</si>
  <si>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</si>
  <si>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</si>
  <si>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</si>
  <si>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</si>
  <si>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</si>
  <si>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</si>
  <si>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</si>
  <si>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</si>
  <si>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</si>
  <si>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</si>
  <si>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</si>
  <si>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</si>
  <si>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</si>
  <si>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</si>
  <si>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</si>
  <si>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</si>
  <si>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</si>
  <si>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</si>
  <si>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</si>
  <si>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</si>
  <si>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</si>
  <si>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</si>
  <si>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</si>
  <si>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</si>
  <si>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</si>
  <si>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</si>
  <si>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</si>
  <si>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</si>
  <si>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</si>
  <si>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</si>
  <si>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</si>
  <si>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</si>
  <si>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</si>
  <si>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</si>
  <si>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</si>
  <si>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</si>
  <si>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</si>
  <si>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</si>
  <si>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</si>
  <si>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</si>
  <si>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</si>
  <si>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</si>
  <si>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</si>
  <si>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</si>
  <si>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</si>
  <si>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</si>
  <si>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</si>
  <si>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</si>
  <si>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</si>
  <si>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</si>
  <si>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</si>
  <si>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</si>
  <si>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</si>
  <si>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</si>
  <si>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</si>
  <si>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</si>
  <si>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</si>
  <si>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</si>
  <si>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</si>
  <si>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</si>
  <si>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</si>
  <si>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</si>
  <si>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</si>
  <si>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</si>
  <si>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</si>
  <si>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</si>
  <si>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</si>
  <si>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</si>
  <si>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</si>
  <si>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</si>
  <si>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</si>
  <si>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</si>
  <si>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</si>
  <si>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</si>
  <si>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</si>
  <si>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</si>
  <si>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</si>
  <si>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</si>
  <si>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</si>
  <si>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</si>
  <si>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</si>
  <si>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</si>
  <si>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</si>
  <si>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</si>
  <si>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</si>
  <si>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</si>
  <si>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</si>
  <si>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</si>
  <si>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</si>
  <si>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</si>
  <si>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</si>
  <si>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</si>
  <si>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</si>
  <si>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</si>
  <si>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</si>
  <si>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</si>
  <si>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</si>
  <si>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</si>
  <si>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</si>
  <si>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</si>
  <si>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</si>
  <si>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</si>
  <si>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</si>
  <si>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</si>
  <si>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</si>
  <si>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</si>
  <si>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</si>
  <si>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</si>
  <si>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</si>
  <si>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</si>
  <si>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</si>
  <si>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</si>
  <si>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</si>
  <si>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</si>
  <si>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</si>
  <si>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</si>
  <si>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</si>
  <si>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</si>
  <si>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</si>
  <si>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</si>
  <si>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</si>
  <si>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</si>
  <si>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</si>
  <si>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</si>
  <si>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</si>
  <si>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</si>
  <si>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</si>
  <si>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</si>
  <si>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</si>
  <si>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</si>
  <si>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</si>
  <si>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</si>
  <si>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</si>
  <si>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</si>
  <si>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</si>
  <si>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</si>
  <si>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</si>
  <si>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</si>
  <si>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</si>
  <si>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</si>
  <si>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</si>
  <si>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</si>
  <si>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</si>
  <si>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</si>
  <si>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</si>
  <si>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</si>
  <si>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</si>
  <si>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</si>
  <si>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</si>
  <si>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</si>
  <si>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</si>
  <si>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</si>
  <si>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</si>
  <si>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</si>
  <si>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</si>
  <si>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</si>
  <si>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</si>
  <si>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</si>
  <si>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</si>
  <si>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</si>
  <si>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</si>
  <si>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</si>
  <si>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</si>
  <si>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</si>
  <si>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</si>
  <si>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</si>
  <si>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</si>
  <si>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</si>
  <si>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</si>
  <si>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</si>
  <si>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</si>
  <si>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</si>
  <si>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</si>
  <si>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</si>
  <si>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</si>
  <si>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</si>
  <si>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</si>
  <si>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</si>
  <si>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</si>
  <si>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</si>
  <si>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</si>
  <si>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</si>
  <si>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</si>
  <si>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</si>
  <si>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</si>
  <si>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</si>
  <si>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</si>
  <si>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</si>
  <si>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</si>
  <si>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</si>
  <si>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</si>
  <si>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</si>
  <si>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</si>
  <si>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</si>
  <si>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</si>
  <si>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</si>
  <si>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</si>
  <si>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</si>
  <si>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</si>
  <si>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</si>
  <si>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</si>
  <si>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</si>
  <si>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</si>
  <si>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</si>
  <si>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</si>
  <si>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</si>
  <si>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</si>
  <si>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</si>
  <si>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</si>
  <si>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</si>
  <si>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</si>
  <si>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</si>
  <si>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</si>
  <si>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</si>
  <si>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</si>
  <si>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</si>
  <si>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</si>
  <si>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</si>
  <si>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</si>
  <si>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</si>
  <si>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</si>
  <si>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</si>
  <si>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</si>
  <si>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</si>
  <si>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</si>
  <si>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</si>
  <si>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</si>
  <si>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</si>
  <si>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</si>
  <si>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</si>
  <si>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</si>
  <si>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</si>
  <si>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</si>
  <si>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</si>
  <si>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</si>
  <si>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</si>
  <si>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</si>
  <si>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</si>
  <si>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</si>
  <si>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</si>
  <si>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</si>
  <si>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</si>
  <si>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</si>
  <si>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</si>
  <si>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</si>
  <si>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</si>
  <si>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</si>
  <si>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</si>
  <si>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</si>
  <si>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</si>
  <si>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</si>
  <si>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</si>
  <si>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</si>
  <si>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</si>
  <si>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</si>
  <si>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</si>
  <si>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</si>
  <si>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</si>
  <si>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</si>
  <si>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</si>
  <si>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</si>
  <si>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</si>
  <si>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</si>
  <si>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</si>
  <si>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</si>
  <si>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</si>
  <si>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</si>
  <si>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</si>
  <si>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</si>
  <si>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</si>
  <si>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</si>
  <si>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</si>
  <si>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</si>
  <si>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</si>
  <si>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</si>
  <si>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</si>
  <si>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</si>
  <si>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</si>
  <si>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</si>
  <si>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</si>
  <si>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</si>
  <si>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</si>
  <si>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</si>
  <si>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</si>
  <si>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</si>
  <si>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</si>
  <si>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</si>
  <si>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</si>
  <si>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</si>
  <si>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</si>
  <si>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</si>
  <si>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</si>
  <si>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</si>
  <si>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</si>
  <si>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</si>
  <si>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</si>
  <si>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</si>
  <si>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</si>
  <si>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</si>
  <si>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</si>
  <si>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</si>
  <si>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</si>
  <si>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</si>
  <si>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</si>
  <si>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</si>
  <si>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</si>
  <si>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</si>
  <si>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</si>
  <si>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</si>
  <si>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</si>
  <si>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</si>
  <si>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</si>
  <si>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</si>
  <si>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</si>
  <si>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</si>
  <si>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</si>
  <si>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</si>
  <si>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</si>
  <si>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</si>
  <si>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</si>
  <si>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</si>
  <si>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</si>
  <si>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</si>
  <si>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</si>
  <si>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</si>
  <si>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</si>
  <si>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</si>
  <si>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</si>
  <si>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</si>
  <si>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</si>
  <si>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</si>
  <si>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</si>
  <si>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</si>
  <si>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</si>
  <si>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</si>
  <si>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</si>
  <si>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</si>
  <si>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</si>
  <si>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</si>
  <si>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</si>
  <si>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</si>
  <si>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</si>
  <si>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</si>
  <si>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</si>
  <si>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</si>
  <si>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</si>
  <si>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</si>
  <si>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</si>
  <si>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</si>
  <si>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</si>
  <si>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</si>
  <si>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</si>
  <si>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</si>
  <si>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</si>
  <si>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</si>
  <si>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</si>
  <si>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</si>
  <si>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</si>
  <si>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</si>
  <si>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</si>
  <si>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</si>
  <si>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</si>
  <si>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</si>
  <si>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</si>
  <si>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</si>
  <si>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</si>
  <si>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</si>
  <si>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</si>
  <si>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</si>
  <si>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</si>
  <si>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</si>
  <si>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</si>
  <si>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</si>
  <si>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</si>
  <si>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</si>
  <si>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</si>
  <si>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</si>
  <si>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</si>
  <si>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</si>
  <si>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</si>
  <si>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</si>
  <si>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</si>
  <si>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</si>
  <si>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</si>
  <si>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</si>
  <si>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</si>
  <si>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</si>
  <si>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</si>
  <si>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</si>
  <si>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</si>
  <si>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</si>
  <si>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</si>
  <si>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</si>
  <si>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</si>
  <si>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</si>
  <si>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</si>
  <si>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</si>
  <si>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</si>
  <si>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</si>
  <si>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</si>
  <si>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</si>
  <si>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</si>
  <si>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</si>
  <si>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</si>
  <si>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</si>
  <si>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</si>
  <si>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</si>
  <si>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</si>
  <si>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</si>
  <si>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</si>
  <si>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</si>
  <si>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</si>
  <si>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</si>
  <si>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</si>
  <si>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</si>
  <si>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</si>
  <si>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</si>
  <si>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</si>
  <si>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</si>
  <si>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</si>
  <si>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</si>
  <si>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</si>
  <si>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</si>
  <si>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</si>
  <si>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</si>
  <si>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</si>
  <si>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</si>
  <si>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</si>
  <si>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</si>
  <si>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</si>
  <si>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</si>
  <si>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</si>
  <si>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</si>
  <si>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</si>
  <si>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</si>
  <si>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</si>
  <si>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</si>
  <si>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</si>
  <si>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</si>
  <si>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</si>
  <si>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</si>
  <si>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</si>
  <si>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</si>
  <si>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</si>
  <si>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</si>
  <si>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</si>
  <si>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</si>
  <si>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</si>
  <si>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</si>
  <si>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</si>
  <si>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</si>
  <si>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</si>
  <si>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</si>
  <si>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</si>
  <si>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</si>
  <si>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</si>
  <si>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</si>
  <si>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</si>
  <si>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</si>
  <si>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</si>
  <si>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</si>
  <si>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</si>
  <si>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</si>
  <si>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</si>
  <si>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</si>
  <si>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</si>
  <si>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</si>
  <si>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</si>
  <si>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</si>
  <si>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</si>
  <si>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</si>
  <si>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</si>
  <si>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</si>
  <si>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</si>
  <si>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</si>
  <si>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</si>
  <si>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</si>
  <si>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</si>
  <si>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</si>
  <si>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</si>
  <si>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</si>
  <si>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</si>
  <si>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</si>
  <si>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</si>
  <si>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</si>
  <si>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</si>
  <si>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</si>
  <si>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</si>
  <si>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</si>
  <si>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</si>
  <si>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</si>
  <si>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</si>
  <si>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</si>
  <si>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</si>
  <si>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</si>
  <si>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</si>
  <si>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</si>
  <si>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</si>
  <si>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</si>
  <si>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</si>
  <si>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</si>
  <si>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</si>
  <si>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</si>
  <si>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</si>
  <si>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</si>
  <si>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</si>
  <si>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</si>
  <si>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</si>
  <si>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</si>
  <si>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</si>
  <si>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</si>
  <si>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</si>
  <si>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</si>
  <si>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</si>
  <si>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</si>
  <si>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</si>
  <si>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</si>
  <si>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</si>
  <si>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</si>
  <si>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</si>
  <si>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</si>
  <si>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</si>
  <si>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</si>
  <si>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</si>
  <si>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</si>
  <si>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</si>
  <si>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</si>
  <si>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</si>
  <si>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</si>
  <si>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</si>
  <si>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</si>
  <si>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</si>
  <si>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</si>
  <si>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</si>
  <si>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</si>
  <si>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</si>
  <si>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</si>
  <si>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</si>
  <si>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</si>
  <si>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</si>
  <si>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</si>
  <si>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</si>
  <si>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</si>
  <si>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</si>
  <si>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</si>
  <si>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</si>
  <si>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</si>
  <si>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</si>
  <si>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</si>
  <si>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</si>
  <si>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</si>
  <si>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</si>
  <si>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</si>
  <si>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</si>
  <si>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</si>
  <si>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</si>
  <si>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</si>
  <si>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</si>
  <si>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</si>
  <si>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</si>
  <si>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</si>
  <si>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</si>
  <si>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</si>
  <si>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</si>
  <si>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</si>
  <si>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</si>
  <si>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</si>
  <si>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</si>
  <si>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</si>
  <si>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</si>
  <si>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</si>
  <si>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</si>
  <si>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</si>
  <si>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</si>
  <si>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</si>
  <si>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</si>
  <si>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</si>
  <si>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</si>
  <si>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</si>
  <si>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</si>
  <si>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</si>
  <si>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</si>
  <si>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</si>
  <si>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</si>
  <si>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</si>
  <si>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</si>
  <si>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</si>
  <si>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</si>
  <si>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</si>
  <si>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</si>
  <si>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</si>
  <si>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</si>
  <si>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</si>
  <si>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</si>
  <si>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</si>
  <si>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</si>
  <si>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</si>
  <si>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</si>
  <si>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</si>
  <si>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</si>
  <si>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</si>
  <si>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</si>
  <si>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</si>
  <si>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</si>
  <si>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</si>
  <si>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</si>
  <si>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</si>
  <si>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</si>
  <si>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</si>
  <si>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</si>
  <si>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</si>
  <si>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</si>
  <si>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</si>
  <si>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</si>
  <si>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</si>
  <si>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</si>
  <si>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</si>
  <si>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</si>
  <si>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</si>
  <si>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</si>
  <si>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</si>
  <si>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</si>
  <si>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</si>
  <si>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</si>
  <si>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</si>
  <si>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</si>
  <si>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</si>
  <si>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</si>
  <si>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</si>
  <si>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</si>
  <si>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</si>
  <si>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</si>
  <si>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</si>
  <si>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</si>
  <si>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</si>
  <si>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</si>
  <si>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</si>
  <si>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</si>
  <si>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</si>
  <si>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</si>
  <si>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</si>
  <si>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</si>
  <si>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</si>
  <si>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</si>
  <si>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</si>
  <si>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</si>
  <si>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</si>
  <si>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</si>
  <si>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</si>
  <si>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</si>
  <si>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</si>
  <si>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</si>
  <si>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</si>
  <si>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</si>
  <si>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</si>
  <si>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</si>
  <si>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</si>
  <si>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</si>
  <si>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</si>
  <si>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</si>
  <si>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</si>
  <si>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</si>
  <si>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</si>
  <si>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</si>
  <si>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</si>
  <si>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</si>
  <si>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</si>
  <si>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</si>
  <si>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</si>
  <si>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</si>
  <si>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</si>
  <si>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</si>
  <si>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</si>
  <si>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</si>
  <si>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</si>
  <si>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</si>
  <si>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</si>
  <si>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</si>
  <si>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</si>
  <si>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</si>
  <si>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</si>
  <si>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</si>
  <si>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</si>
  <si>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</si>
  <si>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</si>
  <si>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</si>
  <si>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</si>
  <si>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</si>
  <si>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</si>
  <si>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</si>
  <si>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</si>
  <si>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</si>
  <si>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</si>
  <si>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</si>
  <si>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</si>
  <si>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</si>
  <si>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</si>
  <si>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</si>
  <si>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</si>
  <si>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</si>
  <si>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</si>
  <si>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</si>
  <si>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</si>
  <si>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</si>
  <si>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</si>
  <si>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</si>
  <si>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</si>
  <si>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</si>
  <si>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</si>
  <si>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</si>
  <si>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</si>
  <si>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</si>
  <si>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</si>
  <si>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</si>
  <si>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</si>
  <si>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</si>
  <si>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SASSE</t>
  </si>
  <si>
    <t xml:space="preserve">SASSE A BAYONS 1</t>
  </si>
  <si>
    <t xml:space="preserve">06153650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</si>
  <si>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</si>
  <si>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</si>
  <si>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</si>
  <si>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</si>
  <si>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</si>
  <si>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</si>
  <si>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</si>
  <si>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</si>
  <si>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</si>
  <si>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niveau trophique</t>
  </si>
  <si>
    <t xml:space="preserve">élevé</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</si>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</sst>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42893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9.4</v>
      </c>
      <c r="N5" s="324"/>
      <c r="O5" s="325" t="s">
        <v>398</v>
      </c>
      <c r="P5" s="326" t="n">
        <v>4</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8.5</v>
      </c>
      <c r="P8" s="356" t="n">
        <f aca="false">IF(ISERROR(AVERAGE(K23:K82)),"  ",AVERAGE(K23:K82))</f>
        <v>2.5</v>
      </c>
      <c r="Q8" s="357"/>
      <c r="R8" s="281"/>
      <c r="S8" s="281"/>
      <c r="T8" s="281"/>
      <c r="U8" s="281"/>
      <c r="V8" s="281"/>
      <c r="W8" s="295"/>
      <c r="X8" s="0"/>
      <c r="Y8" s="0"/>
      <c r="Z8" s="0"/>
    </row>
    <row r="9" customFormat="false" ht="12.75" hidden="false" customHeight="false" outlineLevel="0" collapsed="false">
      <c r="A9" s="314" t="s">
        <v>3399</v>
      </c>
      <c r="B9" s="358" t="n">
        <v>0.01</v>
      </c>
      <c r="C9" s="359"/>
      <c r="D9" s="360"/>
      <c r="E9" s="360"/>
      <c r="F9" s="361" t="n">
        <f aca="false">($B9*$B$7+$C9*$C$7)/100</f>
        <v>0.01</v>
      </c>
      <c r="G9" s="362"/>
      <c r="H9" s="317"/>
      <c r="I9" s="281"/>
      <c r="J9" s="363"/>
      <c r="K9" s="364"/>
      <c r="L9" s="347"/>
      <c r="M9" s="365"/>
      <c r="N9" s="355" t="s">
        <v>3400</v>
      </c>
      <c r="O9" s="356" t="n">
        <f aca="false">IF(ISERROR(STDEVP(J23:J82))," ",STDEVP(J23:J82))</f>
        <v>4.5</v>
      </c>
      <c r="P9" s="356" t="n">
        <f aca="false">IF(ISERROR(STDEVP(K23:K82)),"  ",STDEVP(K23:K82))</f>
        <v>0.5</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4</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2</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3</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2</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0.666666666666667</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0.03</v>
      </c>
      <c r="C20" s="433" t="n">
        <f aca="false">SUM(C23:C82)</f>
        <v>0</v>
      </c>
      <c r="D20" s="434"/>
      <c r="E20" s="435" t="s">
        <v>3425</v>
      </c>
      <c r="F20" s="436" t="n">
        <f aca="false">($B20*$B$7+$C20*$C$7)/100</f>
        <v>0.03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0.03</v>
      </c>
      <c r="C21" s="444" t="n">
        <f aca="false">C20*C7/100</f>
        <v>0</v>
      </c>
      <c r="D21" s="445" t="s">
        <v>3428</v>
      </c>
      <c r="E21" s="446"/>
      <c r="F21" s="447" t="n">
        <f aca="false">B21+C21</f>
        <v>0.03</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328</v>
      </c>
      <c r="B23" s="472" t="n">
        <v>0.01</v>
      </c>
      <c r="C23" s="473"/>
      <c r="D23" s="474" t="str">
        <f aca="false">IF(ISERROR(VLOOKUP($A23,'liste reference'!$A$6:$B$1174,2,0)),IF(ISERROR(VLOOKUP($A23,'liste reference'!$B$6:$B$1174,1,0)),"",VLOOKUP($A23,'liste reference'!$B$6:$B$1174,1,0)),VLOOKUP($A23,'liste reference'!$A$6:$B$1174,2,0))</f>
        <v>Rhizoclonium sp.</v>
      </c>
      <c r="E23" s="475" t="e">
        <f aca="false">IF(D23="",0,VLOOKUP(D23,D$22:D22,1,0))</f>
        <v>#N/A</v>
      </c>
      <c r="F23" s="476" t="n">
        <f aca="false">IF(AND(OR(A23="",A23="!!!!!!"),B23="",C23=""),"",IF(OR(AND(B23="",C23=""),ISERROR(C23+B23)),"!!!",($B23*$B$7+$C23*$C$7)/100))</f>
        <v>0.01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Rhizoclonium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1125</v>
      </c>
      <c r="R23" s="484" t="n">
        <f aca="false">IF(ISTEXT(H23),"",(B23*$B$7/100)+(C23*$C$7/100))</f>
        <v>0.01</v>
      </c>
      <c r="S23" s="485" t="n">
        <f aca="false">IF(OR(ISTEXT(H23),R23=0),"",IF(R23&lt;0.1,1,IF(R23&lt;1,2,IF(R23&lt;10,3,IF(R23&lt;50,4,IF(R23&gt;=50,5,""))))))</f>
        <v>1</v>
      </c>
      <c r="T23" s="485" t="n">
        <f aca="false">IF(ISERROR(S23*J23),0,S23*J23)</f>
        <v>4</v>
      </c>
      <c r="U23" s="485" t="n">
        <f aca="false">IF(ISERROR(S23*J23*K23),0,S23*J23*K23)</f>
        <v>8</v>
      </c>
      <c r="V23" s="485" t="n">
        <f aca="false">IF(ISERROR(S23*K23),0,S23*K23)</f>
        <v>2</v>
      </c>
      <c r="W23" s="486"/>
      <c r="X23" s="487"/>
      <c r="Y23" s="488" t="str">
        <f aca="false">IF(AND(ISNUMBER(F23),OR(A23="",A23="!!!!!!")),"!!!!!!",IF(A23="new.cod","NEWCOD",IF(AND((Z23=""),ISTEXT(A23),A23&lt;&gt;"!!!!!!"),A23,IF(Z23="","",INDEX('liste reference'!$A$6:$A$1174,Z23)))))</f>
        <v>RHISPX</v>
      </c>
      <c r="Z23" s="470" t="n">
        <f aca="false">IF(ISERROR(MATCH(A23,'liste reference'!$A$6:$A$1174,0)),IF(ISERROR(MATCH(A23,'liste reference'!$B$6:$B$1174,0)),"",(MATCH(A23,'liste reference'!$B$6:$B$1174,0))),(MATCH(A23,'liste reference'!$A$6:$A$1174,0)))</f>
        <v>95</v>
      </c>
    </row>
    <row r="24" customFormat="false" ht="12.75" hidden="false" customHeight="false" outlineLevel="0" collapsed="false">
      <c r="A24" s="489" t="s">
        <v>398</v>
      </c>
      <c r="B24" s="490" t="n">
        <v>0.01</v>
      </c>
      <c r="C24" s="491"/>
      <c r="D24" s="492" t="str">
        <f aca="false">IF(ISERROR(VLOOKUP($A24,'liste reference'!$A$6:$B$1174,2,0)),IF(ISERROR(VLOOKUP($A24,'liste reference'!$B$6:$B$1174,1,0)),"",VLOOKUP($A24,'liste reference'!$B$6:$B$1174,1,0)),VLOOKUP($A24,'liste reference'!$A$6:$B$1174,2,0))</f>
        <v>Zygnema sp.</v>
      </c>
      <c r="E24" s="493" t="e">
        <f aca="false">IF(D24="",0,VLOOKUP(D24,D$22:D23,1,0))</f>
        <v>#N/A</v>
      </c>
      <c r="F24" s="494" t="n">
        <f aca="false">IF(AND(OR(A24="",A24="!!!!!!"),B24="",C24=""),"",IF(OR(AND(B24="",C24=""),ISERROR(C24+B24)),"!!!",($B24*$B$7+$C24*$C$7)/100))</f>
        <v>0.01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3</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Zygnema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1148</v>
      </c>
      <c r="R24" s="484" t="n">
        <f aca="false">IF(ISTEXT(H24),"",(B24*$B$7/100)+(C24*$C$7/100))</f>
        <v>0.01</v>
      </c>
      <c r="S24" s="485" t="n">
        <f aca="false">IF(OR(ISTEXT(H24),R24=0),"",IF(R24&lt;0.1,1,IF(R24&lt;1,2,IF(R24&lt;10,3,IF(R24&lt;50,4,IF(R24&gt;=50,5,""))))))</f>
        <v>1</v>
      </c>
      <c r="T24" s="485" t="n">
        <f aca="false">IF(ISERROR(S24*J24),0,S24*J24)</f>
        <v>13</v>
      </c>
      <c r="U24" s="485" t="n">
        <f aca="false">IF(ISERROR(S24*J24*K24),0,S24*J24*K24)</f>
        <v>39</v>
      </c>
      <c r="V24" s="501" t="n">
        <f aca="false">IF(ISERROR(S24*K24),0,S24*K24)</f>
        <v>3</v>
      </c>
      <c r="W24" s="502"/>
      <c r="X24" s="503"/>
      <c r="Y24" s="488" t="str">
        <f aca="false">IF(AND(ISNUMBER(F24),OR(A24="",A24="!!!!!!")),"!!!!!!",IF(A24="new.cod","NEWCOD",IF(AND((Z24=""),ISTEXT(A24),A24&lt;&gt;"!!!!!!"),A24,IF(Z24="","",INDEX('liste reference'!$A$6:$A$1174,Z24)))))</f>
        <v>ZYGSPX</v>
      </c>
      <c r="Z24" s="470" t="n">
        <f aca="false">IF(ISERROR(MATCH(A24,'liste reference'!$A$6:$A$1174,0)),IF(ISERROR(MATCH(A24,'liste reference'!$B$6:$B$1174,0)),"",(MATCH(A24,'liste reference'!$B$6:$B$1174,0))),(MATCH(A24,'liste reference'!$A$6:$A$1174,0)))</f>
        <v>119</v>
      </c>
    </row>
    <row r="25" customFormat="false" ht="12.75" hidden="false" customHeight="false" outlineLevel="0" collapsed="false">
      <c r="A25" s="489" t="s">
        <v>2796</v>
      </c>
      <c r="B25" s="490" t="n">
        <v>0.01</v>
      </c>
      <c r="C25" s="491"/>
      <c r="D25" s="492" t="str">
        <f aca="false">IF(ISERROR(VLOOKUP($A25,'liste reference'!$A$6:$B$1174,2,0)),IF(ISERROR(VLOOKUP($A25,'liste reference'!$B$6:$B$1174,1,0)),"",VLOOKUP($A25,'liste reference'!$B$6:$B$1174,1,0)),VLOOKUP($A25,'liste reference'!$A$6:$B$1174,2,0))</f>
        <v>Petasites hybridus</v>
      </c>
      <c r="E25" s="493" t="e">
        <f aca="false">IF(D25="",0,VLOOKUP(D25,D$22:D24,1,0))</f>
        <v>#N/A</v>
      </c>
      <c r="F25" s="494" t="n">
        <f aca="false">IF(AND(OR(A25="",A25="!!!!!!"),B25="",C25=""),"",IF(OR(AND(B25="",C25=""),ISERROR(C25+B25)),"!!!",($B25*$B$7+$C25*$C$7)/100))</f>
        <v>0.01</v>
      </c>
      <c r="G25" s="495" t="str">
        <f aca="false">IF(A25="","",IF(ISERROR(VLOOKUP($A25,'liste reference'!$A$6:$Q$1174,9,0)),IF(ISERROR(VLOOKUP($A25,'liste reference'!$B$6:$Q$1174,8,0)),"    -",VLOOKUP($A25,'liste reference'!$B$6:$Q$1174,8,0)),VLOOKUP($A25,'liste reference'!$A$6:$Q$1174,9,0)))</f>
        <v>PHg</v>
      </c>
      <c r="H25" s="496" t="n">
        <f aca="false">IF(A25="","x",IF(ISERROR(VLOOKUP($A25,'liste reference'!$A$6:$Q$1174,10,0)),IF(ISERROR(VLOOKUP($A25,'liste reference'!$B$6:$Q$1174,9,0)),"x",VLOOKUP($A25,'liste reference'!$B$6:$Q$1174,9,0)),VLOOKUP($A25,'liste reference'!$A$6:$Q$1174,10,0)))</f>
        <v>9</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Petasites hybridus</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1745</v>
      </c>
      <c r="R25" s="484" t="n">
        <f aca="false">IF(ISTEXT(H25),"",(B25*$B$7/100)+(C25*$C$7/100))</f>
        <v>0.01</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PETHYB</v>
      </c>
      <c r="Z25" s="470" t="n">
        <f aca="false">IF(ISERROR(MATCH(A25,'liste reference'!$A$6:$A$1174,0)),IF(ISERROR(MATCH(A25,'liste reference'!$B$6:$B$1174,0)),"",(MATCH(A25,'liste reference'!$B$6:$B$1174,0))),(MATCH(A25,'liste reference'!$A$6:$A$1174,0)))</f>
        <v>931</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0.03</v>
      </c>
      <c r="G83" s="424"/>
      <c r="H83" s="424"/>
      <c r="I83" s="424"/>
      <c r="J83" s="424"/>
      <c r="K83" s="424"/>
      <c r="L83" s="424"/>
      <c r="M83" s="485"/>
      <c r="N83" s="485"/>
      <c r="O83" s="485"/>
      <c r="P83" s="485"/>
      <c r="Q83" s="485"/>
      <c r="R83" s="485"/>
      <c r="S83" s="485"/>
      <c r="T83" s="485"/>
      <c r="U83" s="485"/>
      <c r="V83" s="485" t="n">
        <f aca="false">SUM(V23:V82)</f>
        <v>5</v>
      </c>
      <c r="W83" s="485"/>
      <c r="X83" s="523"/>
      <c r="Y83" s="523"/>
      <c r="Z83" s="524"/>
    </row>
    <row r="84" customFormat="false" ht="12.75" hidden="true" customHeight="false" outlineLevel="0" collapsed="false">
      <c r="A84" s="518" t="str">
        <f aca="false">A3</f>
        <v>SASSE</v>
      </c>
      <c r="B84" s="453" t="str">
        <f aca="false">C3</f>
        <v>SASSE A BAYONS 1</v>
      </c>
      <c r="C84" s="525" t="str">
        <f aca="false">A4</f>
        <v>(Date)</v>
      </c>
      <c r="D84" s="526" t="n">
        <f aca="false">IF(OR(ISERROR(SUM($U$23:$U$82)/SUM($V$23:$V$82)),F7&lt;&gt;100),-1,SUM($U$23:$U$82)/SUM($V$23:$V$82))</f>
        <v>9.4</v>
      </c>
      <c r="E84" s="527" t="n">
        <f aca="false">O13</f>
        <v>3</v>
      </c>
      <c r="F84" s="453" t="n">
        <f aca="false">O14</f>
        <v>2</v>
      </c>
      <c r="G84" s="453" t="n">
        <f aca="false">O15</f>
        <v>0</v>
      </c>
      <c r="H84" s="453" t="n">
        <f aca="false">O16</f>
        <v>1</v>
      </c>
      <c r="I84" s="453" t="n">
        <f aca="false">O17</f>
        <v>1</v>
      </c>
      <c r="J84" s="528" t="n">
        <f aca="false">O8</f>
        <v>8.5</v>
      </c>
      <c r="K84" s="529" t="n">
        <f aca="false">O9</f>
        <v>4.5</v>
      </c>
      <c r="L84" s="530" t="n">
        <f aca="false">O10</f>
        <v>4</v>
      </c>
      <c r="M84" s="530" t="n">
        <f aca="false">O11</f>
        <v>13</v>
      </c>
      <c r="N84" s="529" t="n">
        <f aca="false">P8</f>
        <v>2.5</v>
      </c>
      <c r="O84" s="529" t="n">
        <f aca="false">P9</f>
        <v>0.5</v>
      </c>
      <c r="P84" s="530" t="n">
        <f aca="false">P10</f>
        <v>2</v>
      </c>
      <c r="Q84" s="530" t="n">
        <f aca="false">P11</f>
        <v>3</v>
      </c>
      <c r="R84" s="530" t="n">
        <f aca="false">F21</f>
        <v>0.03</v>
      </c>
      <c r="S84" s="530" t="n">
        <f aca="false">L11</f>
        <v>0</v>
      </c>
      <c r="T84" s="530" t="n">
        <f aca="false">L12</f>
        <v>2</v>
      </c>
      <c r="U84" s="530" t="n">
        <f aca="false">L13</f>
        <v>0</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13</v>
      </c>
      <c r="U87" s="281"/>
      <c r="V87" s="281"/>
    </row>
    <row r="88" customFormat="false" ht="12.75" hidden="true" customHeight="false" outlineLevel="0" collapsed="false">
      <c r="C88" s="534"/>
      <c r="D88" s="534"/>
      <c r="E88" s="534"/>
      <c r="R88" s="281" t="s">
        <v>3451</v>
      </c>
      <c r="S88" s="281"/>
      <c r="T88" s="536" t="n">
        <f aca="false">VLOOKUP($T$91,($A$23:$U$82),21,0)</f>
        <v>39</v>
      </c>
      <c r="U88" s="281"/>
      <c r="V88" s="281" t="n">
        <f aca="false">COUNTIF(V23:V82,T89)</f>
        <v>1</v>
      </c>
    </row>
    <row r="89" customFormat="false" ht="12.75" hidden="true" customHeight="false" outlineLevel="0" collapsed="false">
      <c r="C89" s="534"/>
      <c r="D89" s="534"/>
      <c r="E89" s="534"/>
      <c r="R89" s="281" t="s">
        <v>3452</v>
      </c>
      <c r="S89" s="281"/>
      <c r="T89" s="536" t="n">
        <f aca="false">MAX($V$23:$V$82)</f>
        <v>3</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4</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3455</v>
      </c>
      <c r="S92" s="281"/>
      <c r="T92" s="281" t="n">
        <f aca="false">MATCH(T89,$V$23:$V$82,0)</f>
        <v>2</v>
      </c>
      <c r="U92" s="281"/>
    </row>
    <row r="93" customFormat="false" ht="12.75" hidden="true" customHeight="false" outlineLevel="0" collapsed="false">
      <c r="C93" s="534"/>
      <c r="D93" s="534"/>
      <c r="E93" s="534"/>
      <c r="R93" s="485" t="s">
        <v>3456</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2017-11-28T16:09:39Z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