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etit-Buech-Roche-Arnauds" sheetId="1" state="visible" r:id="rId3"/>
  </sheets>
  <externalReferences>
    <externalReference r:id="rId4"/>
  </externalReferences>
  <definedNames>
    <definedName function="false" hidden="false" localSheetId="0" name="_xlnm.Print_Area" vbProcedure="false">'Petit-Buech-Roche-Arnauds'!$A$1:$O$82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'Petit-Buech-Roche-Arnauds'!$A$23:$J$84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<sst xmlns="http://schemas.openxmlformats.org/spreadsheetml/2006/main" count="84" uniqueCount="81">
  <si>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</si>
  <si>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</si>
  <si>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</si>
  <si>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</si>
  <si>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</si>
  <si>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Petit Buech</t>
  </si>
  <si>
    <t xml:space="preserve">La Roche des Arnauds</t>
  </si>
  <si>
    <t xml:space="preserve">06154660</t>
  </si>
  <si>
    <t xml:space="preserve">(dossier, type réseau)</t>
  </si>
  <si>
    <t xml:space="preserve">Résultats</t>
  </si>
  <si>
    <t xml:space="preserve">F. courant</t>
  </si>
  <si>
    <t xml:space="preserve">F. lent</t>
  </si>
  <si>
    <t xml:space="preserve">station</t>
  </si>
  <si>
    <t xml:space="preserve">IBMR:</t>
  </si>
  <si>
    <t xml:space="preserve">Type de faciès</t>
  </si>
  <si>
    <t xml:space="preserve">pl. courant</t>
  </si>
  <si>
    <t xml:space="preserve">mouille</t>
  </si>
  <si>
    <t xml:space="preserve">niv. trophique:</t>
  </si>
  <si>
    <t xml:space="preserve">faible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</si>
  <si>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</si>
  <si>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</si>
  <si>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</si>
  <si>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</si>
  <si>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</si>
  <si>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</si>
  <si>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</si>
  <si>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</si>
  <si>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</si>
  <si>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</si>
  <si>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</si>
  <si>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</si>
  <si>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</si>
  <si>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</si>
  <si>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</si>
  <si>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</si>
  <si>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</si>
  <si>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</si>
  <si>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</si>
  <si>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</si>
  <si>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</si>
  <si>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</si>
  <si>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</si>
  <si>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</si>
  <si>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</si>
  <si>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</si>
  <si>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</si>
  <si>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</si>
  <si>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</si>
  <si>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</si>
  <si>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</si>
  <si>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</si>
  <si>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</si>
  <si>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</si>
  <si>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</si>
  <si>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</si>
  <si>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</si>
  <si>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</si>
  <si>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</si>
  <si>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</si>
  <si>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</si>
  <si>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</si>
  <si>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</si>
  <si>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</si>
  <si>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</si>
  <si>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</si>
  <si>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</si>
  <si>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</si>
  <si>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</si>
  <si>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</si>
  <si>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</si>
  <si>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</si>
  <si>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ZYG.SPX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</si>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</sst>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99CC00"/>
        <bgColor rgb="FFFFCC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2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4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4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4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99360</xdr:rowOff>
    </xdr:to>
    <xdr:grpSp>
      <xdr:nvGrpSpPr>
        <xdr:cNvPr id="1" name="Group 7"/>
        <xdr:cNvGrpSpPr/>
      </xdr:nvGrpSpPr>
      <xdr:grpSpPr>
        <a:xfrm>
          <a:off x="8025480" y="9360"/>
          <a:ext cx="941760" cy="451800"/>
          <a:chOff x="8025480" y="9360"/>
          <a:chExt cx="941760" cy="45180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3-IBMR-RCS-pertinence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Buech-Serres"/><sheetName val="Buech-Ribiers"/><sheetName val="Coulon-Oppede"/><sheetName val="Sorgue-Isle-Sorgue"/><sheetName val="Meyne-Orange"/><sheetName val="Nartuby-Trans-Prov"/><sheetName val="Gapeau-Hyeres"/><sheetName val="Jabron-Comps"/><sheetName val="Arc-Aix"/><sheetName val="Arc-Berre"/><sheetName val="Vesubie-Utelle"/><sheetName val="Lauzon-Brillane"/><sheetName val="Coulomp-St-Benoit"/><sheetName val="Coulon-Cereste"/><sheetName val="Verdon-St-Andre"/><sheetName val="Bleone-Mallemoisson"/><sheetName val="Var-Utelle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40028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/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10</v>
      </c>
      <c r="C5" s="44" t="s">
        <v>11</v>
      </c>
      <c r="D5" s="45"/>
      <c r="E5" s="45"/>
      <c r="F5" s="46" t="s">
        <v>12</v>
      </c>
      <c r="G5" s="47"/>
      <c r="H5" s="45"/>
      <c r="I5" s="48"/>
      <c r="J5" s="49"/>
      <c r="K5" s="50" t="s">
        <v>13</v>
      </c>
      <c r="L5" s="51" t="n">
        <v>13</v>
      </c>
      <c r="M5" s="52"/>
      <c r="N5" s="53"/>
      <c r="O5" s="54"/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14</v>
      </c>
      <c r="B6" s="56" t="s">
        <v>15</v>
      </c>
      <c r="C6" s="57" t="s">
        <v>16</v>
      </c>
      <c r="D6" s="45"/>
      <c r="E6" s="45"/>
      <c r="F6" s="46"/>
      <c r="G6" s="47"/>
      <c r="H6" s="45"/>
      <c r="I6" s="58" t="s">
        <v>17</v>
      </c>
      <c r="J6" s="59"/>
      <c r="K6" s="60"/>
      <c r="L6" s="61" t="s">
        <v>18</v>
      </c>
      <c r="M6" s="62"/>
      <c r="N6" s="63"/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19</v>
      </c>
      <c r="B7" s="65" t="n">
        <v>90</v>
      </c>
      <c r="C7" s="66" t="n">
        <v>10</v>
      </c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20</v>
      </c>
      <c r="O7" s="76" t="s">
        <v>21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22</v>
      </c>
      <c r="B8" s="77"/>
      <c r="C8" s="77"/>
      <c r="D8" s="67"/>
      <c r="E8" s="67"/>
      <c r="F8" s="78" t="s">
        <v>23</v>
      </c>
      <c r="G8" s="79"/>
      <c r="H8" s="80"/>
      <c r="I8" s="70"/>
      <c r="J8" s="71"/>
      <c r="K8" s="72"/>
      <c r="L8" s="73"/>
      <c r="M8" s="81" t="s">
        <v>24</v>
      </c>
      <c r="N8" s="82" t="n">
        <f aca="false">AVERAGE(I23:I82)</f>
        <v>13</v>
      </c>
      <c r="O8" s="83" t="n">
        <f aca="false">AVERAGE(J23:J82)</f>
        <v>3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25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26</v>
      </c>
      <c r="N9" s="82" t="e">
        <f aca="false">STDEV(I23:I82)</f>
        <v>#DIV/0!</v>
      </c>
      <c r="O9" s="83" t="e">
        <f aca="false">STDEV(J23:J82)</f>
        <v>#DIV/0!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27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28</v>
      </c>
      <c r="K10" s="102"/>
      <c r="L10" s="103"/>
      <c r="M10" s="104" t="s">
        <v>29</v>
      </c>
      <c r="N10" s="105" t="n">
        <f aca="false">MIN(I23:I82)</f>
        <v>13</v>
      </c>
      <c r="O10" s="106" t="n">
        <f aca="false">MIN(J23:J82)</f>
        <v>3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30</v>
      </c>
      <c r="B11" s="108" t="n">
        <v>0</v>
      </c>
      <c r="C11" s="109" t="n">
        <v>0</v>
      </c>
      <c r="D11" s="110"/>
      <c r="E11" s="110"/>
      <c r="F11" s="111" t="n">
        <f aca="false">($B11*$B$7+$C11*$C$7)/100</f>
        <v>0</v>
      </c>
      <c r="G11" s="112"/>
      <c r="H11" s="67"/>
      <c r="I11" s="113" t="s">
        <v>31</v>
      </c>
      <c r="J11" s="113"/>
      <c r="K11" s="114" t="n">
        <f aca="false">COUNTIF($G$23:$G$82,"=HET")</f>
        <v>0</v>
      </c>
      <c r="L11" s="115"/>
      <c r="M11" s="104" t="s">
        <v>32</v>
      </c>
      <c r="N11" s="105" t="n">
        <f aca="false">MAX(I23:I82)</f>
        <v>13</v>
      </c>
      <c r="O11" s="106" t="n">
        <f aca="false">MAX(J23:J82)</f>
        <v>3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33</v>
      </c>
      <c r="B12" s="117" t="n">
        <v>0.01</v>
      </c>
      <c r="C12" s="118" t="n">
        <v>0</v>
      </c>
      <c r="D12" s="110"/>
      <c r="E12" s="110"/>
      <c r="F12" s="111" t="n">
        <f aca="false">($B12*$B$7+$C12*$C$7)/100</f>
        <v>0.009</v>
      </c>
      <c r="G12" s="119"/>
      <c r="H12" s="67"/>
      <c r="I12" s="120" t="s">
        <v>34</v>
      </c>
      <c r="J12" s="120"/>
      <c r="K12" s="114" t="n">
        <f aca="false">COUNTIF($G$23:$G$82,"=ALG")</f>
        <v>1</v>
      </c>
      <c r="L12" s="121"/>
      <c r="M12" s="122"/>
      <c r="N12" s="123" t="s">
        <v>28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35</v>
      </c>
      <c r="B13" s="117" t="n">
        <v>0</v>
      </c>
      <c r="C13" s="118" t="n">
        <v>0</v>
      </c>
      <c r="D13" s="110"/>
      <c r="E13" s="110"/>
      <c r="F13" s="111" t="n">
        <f aca="false">($B13*$B$7+$C13*$C$7)/100</f>
        <v>0</v>
      </c>
      <c r="G13" s="119"/>
      <c r="H13" s="67"/>
      <c r="I13" s="120" t="s">
        <v>36</v>
      </c>
      <c r="J13" s="120"/>
      <c r="K13" s="114" t="n">
        <f aca="false">COUNTIF($G$23:$G$82,"=BRm")+COUNTIF($G$23:$G$82,"=BRh")</f>
        <v>0</v>
      </c>
      <c r="L13" s="115"/>
      <c r="M13" s="125" t="s">
        <v>37</v>
      </c>
      <c r="N13" s="126" t="n">
        <f aca="false">COUNTIF(F23:F82,"&gt;0")</f>
        <v>1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38</v>
      </c>
      <c r="B14" s="117" t="n">
        <v>0</v>
      </c>
      <c r="C14" s="118" t="n">
        <v>0</v>
      </c>
      <c r="D14" s="110"/>
      <c r="E14" s="110"/>
      <c r="F14" s="111" t="n">
        <f aca="false">($B14*$B$7+$C14*$C$7)/100</f>
        <v>0</v>
      </c>
      <c r="G14" s="119"/>
      <c r="H14" s="67"/>
      <c r="I14" s="120" t="s">
        <v>39</v>
      </c>
      <c r="J14" s="120"/>
      <c r="K14" s="114" t="n">
        <f aca="false">COUNTIF($G$23:$G$82,"=PTE")</f>
        <v>0</v>
      </c>
      <c r="L14" s="115"/>
      <c r="M14" s="128" t="s">
        <v>40</v>
      </c>
      <c r="N14" s="129" t="n">
        <f aca="false">COUNTIF($I$23:$I$82,"&gt;-1")</f>
        <v>1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41</v>
      </c>
      <c r="B15" s="132" t="n">
        <v>0</v>
      </c>
      <c r="C15" s="133" t="n">
        <v>0</v>
      </c>
      <c r="D15" s="110"/>
      <c r="E15" s="110"/>
      <c r="F15" s="111" t="n">
        <f aca="false">($B15*$B$7+$C15*$C$7)/100</f>
        <v>0</v>
      </c>
      <c r="G15" s="119"/>
      <c r="H15" s="67"/>
      <c r="I15" s="120" t="s">
        <v>42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4" t="s">
        <v>43</v>
      </c>
      <c r="N15" s="135" t="n">
        <f aca="false">COUNTIF(J23:J82,"=1")</f>
        <v>0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44</v>
      </c>
      <c r="B16" s="108" t="n">
        <v>0</v>
      </c>
      <c r="C16" s="109" t="n">
        <v>0</v>
      </c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45</v>
      </c>
      <c r="N16" s="135" t="n">
        <f aca="false">COUNTIF(J23:J82,"=2")</f>
        <v>0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46</v>
      </c>
      <c r="B17" s="117" t="n">
        <v>0.01</v>
      </c>
      <c r="C17" s="118" t="n">
        <v>0</v>
      </c>
      <c r="D17" s="110"/>
      <c r="E17" s="110"/>
      <c r="F17" s="140"/>
      <c r="G17" s="111" t="n">
        <f aca="false">($B17*$B$7+$C17*$C$7)/100</f>
        <v>0.009</v>
      </c>
      <c r="H17" s="67"/>
      <c r="I17" s="120"/>
      <c r="J17" s="120"/>
      <c r="K17" s="139"/>
      <c r="L17" s="115"/>
      <c r="M17" s="134" t="s">
        <v>47</v>
      </c>
      <c r="N17" s="135" t="n">
        <f aca="false">COUNTIF(J23:J82,"=3")</f>
        <v>1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48</v>
      </c>
      <c r="B18" s="142" t="n">
        <v>0</v>
      </c>
      <c r="C18" s="143" t="n">
        <v>0</v>
      </c>
      <c r="D18" s="110"/>
      <c r="E18" s="144" t="s">
        <v>49</v>
      </c>
      <c r="F18" s="140"/>
      <c r="G18" s="111" t="n">
        <f aca="false">($B18*$B$7+$C18*$C$7)/100</f>
        <v>0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0.009</v>
      </c>
      <c r="G19" s="152" t="n">
        <f aca="false">SUM(G16:G18)</f>
        <v>0.009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50</v>
      </c>
      <c r="B20" s="160" t="n">
        <f aca="false">SUM(B23:B82)</f>
        <v>0.01</v>
      </c>
      <c r="C20" s="161" t="n">
        <f aca="false">SUM(C23:C82)</f>
        <v>0</v>
      </c>
      <c r="D20" s="162"/>
      <c r="E20" s="163" t="s">
        <v>49</v>
      </c>
      <c r="F20" s="164" t="n">
        <f aca="false">($B20*$B$7+$C20*$C$7)/100</f>
        <v>0.009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51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52</v>
      </c>
      <c r="B21" s="173" t="n">
        <f aca="false">B20*B7/100</f>
        <v>0.009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0.009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53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54</v>
      </c>
      <c r="B22" s="183" t="s">
        <v>55</v>
      </c>
      <c r="C22" s="184" t="s">
        <v>55</v>
      </c>
      <c r="D22" s="137"/>
      <c r="E22" s="137"/>
      <c r="F22" s="185" t="s">
        <v>56</v>
      </c>
      <c r="G22" s="186" t="s">
        <v>57</v>
      </c>
      <c r="H22" s="137"/>
      <c r="I22" s="187" t="s">
        <v>58</v>
      </c>
      <c r="J22" s="187" t="s">
        <v>59</v>
      </c>
      <c r="K22" s="188" t="s">
        <v>60</v>
      </c>
      <c r="L22" s="188"/>
      <c r="M22" s="188"/>
      <c r="N22" s="188"/>
      <c r="O22" s="188"/>
      <c r="P22" s="189" t="s">
        <v>61</v>
      </c>
      <c r="Q22" s="190" t="s">
        <v>62</v>
      </c>
      <c r="R22" s="191" t="s">
        <v>63</v>
      </c>
      <c r="S22" s="192" t="s">
        <v>64</v>
      </c>
      <c r="T22" s="193" t="s">
        <v>65</v>
      </c>
      <c r="U22" s="191" t="s">
        <v>66</v>
      </c>
      <c r="X22" s="9" t="s">
        <v>67</v>
      </c>
      <c r="Y22" s="9" t="s">
        <v>68</v>
      </c>
      <c r="Z22" s="194" t="s">
        <v>69</v>
      </c>
      <c r="AA22" s="194" t="s">
        <v>70</v>
      </c>
    </row>
    <row r="23" customFormat="false" ht="12.75" hidden="false" customHeight="false" outlineLevel="0" collapsed="false">
      <c r="A23" s="195" t="s">
        <v>71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Zygnema sp.       </v>
      </c>
      <c r="E23" s="198" t="e">
        <f aca="false">IF(D23="",0,VLOOKUP(D23,D$22:D22,1,0))</f>
        <v>#N/A</v>
      </c>
      <c r="F23" s="199" t="n">
        <f aca="false">($B23*$B$7+$C23*$C$7)/100</f>
        <v>0.009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13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3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Zygnema sp.       </v>
      </c>
      <c r="L23" s="205"/>
      <c r="M23" s="205"/>
      <c r="N23" s="205"/>
      <c r="O23" s="206"/>
      <c r="P23" s="207" t="n">
        <f aca="false">IF(ISTEXT(H23),"",(B23*$B$7/100)+(C23*$C$7/100))</f>
        <v>0.009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13</v>
      </c>
      <c r="S23" s="208" t="n">
        <f aca="false">IF(ISERROR(Q23*I23*J23),0,Q23*I23*J23)</f>
        <v>39</v>
      </c>
      <c r="T23" s="208" t="n">
        <f aca="false">IF(ISERROR(Q23*J23),0,Q23*J23)</f>
        <v>3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ZYG.SPX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84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/>
      <c r="B24" s="215"/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/>
      </c>
      <c r="E24" s="217" t="n">
        <f aca="false">IF(D24="",0,VLOOKUP(D24,D$22:D23,1,0))</f>
        <v>0</v>
      </c>
      <c r="F24" s="218" t="n">
        <f aca="false">($B24*$B$7+$C24*$C$7)/100</f>
        <v>0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/>
      </c>
      <c r="H24" s="201" t="str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x</v>
      </c>
      <c r="I24" s="220" t="str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/>
      </c>
      <c r="J24" s="203" t="str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/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/>
      </c>
      <c r="L24" s="222"/>
      <c r="M24" s="222"/>
      <c r="N24" s="222"/>
      <c r="O24" s="206"/>
      <c r="P24" s="207" t="str">
        <f aca="false">IF(ISTEXT(H24),"",(B24*$B$7/100)+(C24*$C$7/100))</f>
        <v/>
      </c>
      <c r="Q24" s="208" t="str">
        <f aca="false">IF(OR(ISTEXT(H24),P24=0),"",IF(P24&lt;0.1,1,IF(P24&lt;1,2,IF(P24&lt;10,3,IF(P24&lt;50,4,IF(P24&gt;=50,5,""))))))</f>
        <v/>
      </c>
      <c r="R24" s="208" t="n">
        <f aca="false">IF(ISERROR(Q24*I24),0,Q24*I24)</f>
        <v>0</v>
      </c>
      <c r="S24" s="208" t="n">
        <f aca="false">IF(ISERROR(Q24*I24*J24),0,Q24*I24*J24)</f>
        <v>0</v>
      </c>
      <c r="T24" s="223" t="n">
        <f aca="false">IF(ISERROR(Q24*J24),0,Q24*J24)</f>
        <v>0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/>
      </c>
      <c r="Y24" s="9" t="str">
        <f aca="false">IF(ISERROR(MATCH(A24,'[1]liste reference'!$A$7:$A$906,0)),IF(ISERROR(MATCH(A24,'[1]liste reference'!$B$7:$B$906,0)),"",(MATCH(A24,'[1]liste reference'!$B$7:$B$906,0))),(MATCH(A24,'[1]liste reference'!$A$7:$A$906,0)))</f>
        <v/>
      </c>
      <c r="Z24" s="212"/>
      <c r="AA24" s="213"/>
      <c r="BB24" s="9" t="str">
        <f aca="false">IF(A24="","",1)</f>
        <v/>
      </c>
    </row>
    <row r="25" customFormat="false" ht="12.75" hidden="false" customHeight="false" outlineLevel="0" collapsed="false">
      <c r="A25" s="214"/>
      <c r="B25" s="215"/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/>
      </c>
      <c r="E25" s="217" t="n">
        <f aca="false">IF(D25="",0,VLOOKUP(D25,D$22:D24,1,0))</f>
        <v>0</v>
      </c>
      <c r="F25" s="218" t="n">
        <f aca="false">($B25*$B$7+$C25*$C$7)/100</f>
        <v>0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/>
      </c>
      <c r="H25" s="201" t="str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x</v>
      </c>
      <c r="I25" s="220" t="str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/>
      </c>
      <c r="J25" s="203" t="str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/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/>
      </c>
      <c r="L25" s="222"/>
      <c r="M25" s="222"/>
      <c r="N25" s="222"/>
      <c r="O25" s="206"/>
      <c r="P25" s="207" t="str">
        <f aca="false">IF(ISTEXT(H25),"",(B25*$B$7/100)+(C25*$C$7/100))</f>
        <v/>
      </c>
      <c r="Q25" s="208" t="str">
        <f aca="false">IF(OR(ISTEXT(H25),P25=0),"",IF(P25&lt;0.1,1,IF(P25&lt;1,2,IF(P25&lt;10,3,IF(P25&lt;50,4,IF(P25&gt;=50,5,""))))))</f>
        <v/>
      </c>
      <c r="R25" s="208" t="n">
        <f aca="false">IF(ISERROR(Q25*I25),0,Q25*I25)</f>
        <v>0</v>
      </c>
      <c r="S25" s="208" t="n">
        <f aca="false">IF(ISERROR(Q25*I25*J25),0,Q25*I25*J25)</f>
        <v>0</v>
      </c>
      <c r="T25" s="223" t="n">
        <f aca="false">IF(ISERROR(Q25*J25),0,Q25*J25)</f>
        <v>0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/>
      </c>
      <c r="Y25" s="9" t="str">
        <f aca="false">IF(ISERROR(MATCH(A25,'[1]liste reference'!$A$7:$A$906,0)),IF(ISERROR(MATCH(A25,'[1]liste reference'!$B$7:$B$906,0)),"",(MATCH(A25,'[1]liste reference'!$B$7:$B$906,0))),(MATCH(A25,'[1]liste reference'!$A$7:$A$906,0)))</f>
        <v/>
      </c>
      <c r="Z25" s="212"/>
      <c r="AA25" s="213"/>
      <c r="BB25" s="9" t="str">
        <f aca="false">IF(A25="","",1)</f>
        <v/>
      </c>
    </row>
    <row r="26" customFormat="false" ht="12.75" hidden="false" customHeight="false" outlineLevel="0" collapsed="false">
      <c r="A26" s="214"/>
      <c r="B26" s="215"/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/>
      </c>
      <c r="E26" s="217" t="n">
        <f aca="false">IF(D26="",0,VLOOKUP(D26,D$22:D25,1,0))</f>
        <v>0</v>
      </c>
      <c r="F26" s="218" t="n">
        <f aca="false">($B26*$B$7+$C26*$C$7)/100</f>
        <v>0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/>
      </c>
      <c r="H26" s="201" t="str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x</v>
      </c>
      <c r="I26" s="220" t="str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/>
      </c>
      <c r="J26" s="203" t="str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/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/>
      </c>
      <c r="L26" s="222"/>
      <c r="M26" s="222"/>
      <c r="N26" s="222"/>
      <c r="O26" s="206"/>
      <c r="P26" s="207" t="str">
        <f aca="false">IF(ISTEXT(H26),"",(B26*$B$7/100)+(C26*$C$7/100))</f>
        <v/>
      </c>
      <c r="Q26" s="208" t="str">
        <f aca="false">IF(OR(ISTEXT(H26),P26=0),"",IF(P26&lt;0.1,1,IF(P26&lt;1,2,IF(P26&lt;10,3,IF(P26&lt;50,4,IF(P26&gt;=50,5,""))))))</f>
        <v/>
      </c>
      <c r="R26" s="208" t="n">
        <f aca="false">IF(ISERROR(Q26*I26),0,Q26*I26)</f>
        <v>0</v>
      </c>
      <c r="S26" s="208" t="n">
        <f aca="false">IF(ISERROR(Q26*I26*J26),0,Q26*I26*J26)</f>
        <v>0</v>
      </c>
      <c r="T26" s="223" t="n">
        <f aca="false">IF(ISERROR(Q26*J26),0,Q26*J26)</f>
        <v>0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/>
      </c>
      <c r="Y26" s="9" t="str">
        <f aca="false">IF(ISERROR(MATCH(A26,'[1]liste reference'!$A$7:$A$906,0)),IF(ISERROR(MATCH(A26,'[1]liste reference'!$B$7:$B$906,0)),"",(MATCH(A26,'[1]liste reference'!$B$7:$B$906,0))),(MATCH(A26,'[1]liste reference'!$A$7:$A$906,0)))</f>
        <v/>
      </c>
      <c r="Z26" s="212"/>
      <c r="AA26" s="213"/>
      <c r="BB26" s="9" t="str">
        <f aca="false">IF(A26="","",1)</f>
        <v/>
      </c>
    </row>
    <row r="27" customFormat="false" ht="12.75" hidden="false" customHeight="false" outlineLevel="0" collapsed="false">
      <c r="A27" s="214"/>
      <c r="B27" s="215"/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/>
      </c>
      <c r="E27" s="217" t="n">
        <f aca="false">IF(D27="",0,VLOOKUP(D27,D$22:D26,1,0))</f>
        <v>0</v>
      </c>
      <c r="F27" s="218" t="n">
        <f aca="false">($B27*$B$7+$C27*$C$7)/100</f>
        <v>0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/>
      </c>
      <c r="H27" s="201" t="str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x</v>
      </c>
      <c r="I27" s="220" t="str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/>
      </c>
      <c r="J27" s="203" t="str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/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/>
      </c>
      <c r="L27" s="222"/>
      <c r="M27" s="222"/>
      <c r="N27" s="222"/>
      <c r="O27" s="206"/>
      <c r="P27" s="207" t="str">
        <f aca="false">IF(ISTEXT(H27),"",(B27*$B$7/100)+(C27*$C$7/100))</f>
        <v/>
      </c>
      <c r="Q27" s="208" t="str">
        <f aca="false">IF(OR(ISTEXT(H27),P27=0),"",IF(P27&lt;0.1,1,IF(P27&lt;1,2,IF(P27&lt;10,3,IF(P27&lt;50,4,IF(P27&gt;=50,5,""))))))</f>
        <v/>
      </c>
      <c r="R27" s="208" t="n">
        <f aca="false">IF(ISERROR(Q27*I27),0,Q27*I27)</f>
        <v>0</v>
      </c>
      <c r="S27" s="208" t="n">
        <f aca="false">IF(ISERROR(Q27*I27*J27),0,Q27*I27*J27)</f>
        <v>0</v>
      </c>
      <c r="T27" s="223" t="n">
        <f aca="false">IF(ISERROR(Q27*J27),0,Q27*J27)</f>
        <v>0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/>
      </c>
      <c r="Y27" s="9" t="str">
        <f aca="false">IF(ISERROR(MATCH(A27,'[1]liste reference'!$A$7:$A$906,0)),IF(ISERROR(MATCH(A27,'[1]liste reference'!$B$7:$B$906,0)),"",(MATCH(A27,'[1]liste reference'!$B$7:$B$906,0))),(MATCH(A27,'[1]liste reference'!$A$7:$A$906,0)))</f>
        <v/>
      </c>
      <c r="Z27" s="212"/>
      <c r="AA27" s="213"/>
      <c r="BB27" s="9" t="str">
        <f aca="false">IF(A27="","",1)</f>
        <v/>
      </c>
    </row>
    <row r="28" customFormat="false" ht="12.75" hidden="false" customHeight="false" outlineLevel="0" collapsed="false">
      <c r="A28" s="214"/>
      <c r="B28" s="215"/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/>
      </c>
      <c r="E28" s="217" t="n">
        <f aca="false">IF(D28="",0,VLOOKUP(D28,D$22:D27,1,0))</f>
        <v>0</v>
      </c>
      <c r="F28" s="218" t="n">
        <f aca="false">($B28*$B$7+$C28*$C$7)/100</f>
        <v>0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/>
      </c>
      <c r="H28" s="201" t="str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x</v>
      </c>
      <c r="I28" s="220" t="str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/>
      </c>
      <c r="J28" s="203" t="str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/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/>
      </c>
      <c r="L28" s="222"/>
      <c r="M28" s="222"/>
      <c r="N28" s="222"/>
      <c r="O28" s="206"/>
      <c r="P28" s="207" t="str">
        <f aca="false">IF(ISTEXT(H28),"",(B28*$B$7/100)+(C28*$C$7/100))</f>
        <v/>
      </c>
      <c r="Q28" s="208" t="str">
        <f aca="false">IF(OR(ISTEXT(H28),P28=0),"",IF(P28&lt;0.1,1,IF(P28&lt;1,2,IF(P28&lt;10,3,IF(P28&lt;50,4,IF(P28&gt;=50,5,""))))))</f>
        <v/>
      </c>
      <c r="R28" s="208" t="n">
        <f aca="false">IF(ISERROR(Q28*I28),0,Q28*I28)</f>
        <v>0</v>
      </c>
      <c r="S28" s="208" t="n">
        <f aca="false">IF(ISERROR(Q28*I28*J28),0,Q28*I28*J28)</f>
        <v>0</v>
      </c>
      <c r="T28" s="223" t="n">
        <f aca="false">IF(ISERROR(Q28*J28),0,Q28*J28)</f>
        <v>0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/>
      </c>
      <c r="Y28" s="9" t="str">
        <f aca="false">IF(ISERROR(MATCH(A28,'[1]liste reference'!$A$7:$A$906,0)),IF(ISERROR(MATCH(A28,'[1]liste reference'!$B$7:$B$906,0)),"",(MATCH(A28,'[1]liste reference'!$B$7:$B$906,0))),(MATCH(A28,'[1]liste reference'!$A$7:$A$906,0)))</f>
        <v/>
      </c>
      <c r="Z28" s="212"/>
      <c r="AA28" s="213"/>
      <c r="BB28" s="9" t="str">
        <f aca="false">IF(A28="","",1)</f>
        <v/>
      </c>
    </row>
    <row r="29" customFormat="false" ht="12.75" hidden="false" customHeight="false" outlineLevel="0" collapsed="false">
      <c r="A29" s="214"/>
      <c r="B29" s="215"/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/>
      </c>
      <c r="E29" s="217" t="n">
        <f aca="false">IF(D29="",0,VLOOKUP(D29,D$22:D28,1,0))</f>
        <v>0</v>
      </c>
      <c r="F29" s="218" t="n">
        <f aca="false">($B29*$B$7+$C29*$C$7)/100</f>
        <v>0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/>
      </c>
      <c r="H29" s="201" t="str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x</v>
      </c>
      <c r="I29" s="220" t="str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/>
      </c>
      <c r="J29" s="203" t="str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/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/>
      </c>
      <c r="L29" s="222"/>
      <c r="M29" s="222"/>
      <c r="N29" s="222"/>
      <c r="O29" s="206"/>
      <c r="P29" s="207" t="str">
        <f aca="false">IF(ISTEXT(H29),"",(B29*$B$7/100)+(C29*$C$7/100))</f>
        <v/>
      </c>
      <c r="Q29" s="208" t="str">
        <f aca="false">IF(OR(ISTEXT(H29),P29=0),"",IF(P29&lt;0.1,1,IF(P29&lt;1,2,IF(P29&lt;10,3,IF(P29&lt;50,4,IF(P29&gt;=50,5,""))))))</f>
        <v/>
      </c>
      <c r="R29" s="208" t="n">
        <f aca="false">IF(ISERROR(Q29*I29),0,Q29*I29)</f>
        <v>0</v>
      </c>
      <c r="S29" s="208" t="n">
        <f aca="false">IF(ISERROR(Q29*I29*J29),0,Q29*I29*J29)</f>
        <v>0</v>
      </c>
      <c r="T29" s="223" t="n">
        <f aca="false">IF(ISERROR(Q29*J29),0,Q29*J29)</f>
        <v>0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/>
      </c>
      <c r="Y29" s="9" t="str">
        <f aca="false">IF(ISERROR(MATCH(A29,'[1]liste reference'!$A$7:$A$906,0)),IF(ISERROR(MATCH(A29,'[1]liste reference'!$B$7:$B$906,0)),"",(MATCH(A29,'[1]liste reference'!$B$7:$B$906,0))),(MATCH(A29,'[1]liste reference'!$A$7:$A$906,0)))</f>
        <v/>
      </c>
      <c r="Z29" s="212"/>
      <c r="AA29" s="213"/>
      <c r="BB29" s="9" t="str">
        <f aca="false">IF(A29="","",1)</f>
        <v/>
      </c>
    </row>
    <row r="30" customFormat="false" ht="12.75" hidden="false" customHeight="false" outlineLevel="0" collapsed="false">
      <c r="A30" s="214"/>
      <c r="B30" s="215"/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/>
      </c>
      <c r="E30" s="217" t="n">
        <f aca="false">IF(D30="",0,VLOOKUP(D30,D$22:D29,1,0))</f>
        <v>0</v>
      </c>
      <c r="F30" s="218" t="n">
        <f aca="false">($B30*$B$7+$C30*$C$7)/100</f>
        <v>0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/>
      </c>
      <c r="H30" s="201" t="str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x</v>
      </c>
      <c r="I30" s="220" t="str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/>
      </c>
      <c r="J30" s="203" t="str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/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/>
      </c>
      <c r="L30" s="222"/>
      <c r="M30" s="222"/>
      <c r="N30" s="222"/>
      <c r="O30" s="206"/>
      <c r="P30" s="207" t="str">
        <f aca="false">IF(ISTEXT(H30),"",(B30*$B$7/100)+(C30*$C$7/100))</f>
        <v/>
      </c>
      <c r="Q30" s="208" t="str">
        <f aca="false">IF(OR(ISTEXT(H30),P30=0),"",IF(P30&lt;0.1,1,IF(P30&lt;1,2,IF(P30&lt;10,3,IF(P30&lt;50,4,IF(P30&gt;=50,5,""))))))</f>
        <v/>
      </c>
      <c r="R30" s="208" t="n">
        <f aca="false">IF(ISERROR(Q30*I30),0,Q30*I30)</f>
        <v>0</v>
      </c>
      <c r="S30" s="208" t="n">
        <f aca="false">IF(ISERROR(Q30*I30*J30),0,Q30*I30*J30)</f>
        <v>0</v>
      </c>
      <c r="T30" s="223" t="n">
        <f aca="false">IF(ISERROR(Q30*J30),0,Q30*J30)</f>
        <v>0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/>
      </c>
      <c r="Y30" s="9" t="str">
        <f aca="false">IF(ISERROR(MATCH(A30,'[1]liste reference'!$A$7:$A$906,0)),IF(ISERROR(MATCH(A30,'[1]liste reference'!$B$7:$B$906,0)),"",(MATCH(A30,'[1]liste reference'!$B$7:$B$906,0))),(MATCH(A30,'[1]liste reference'!$A$7:$A$906,0)))</f>
        <v/>
      </c>
      <c r="Z30" s="212"/>
      <c r="AA30" s="213"/>
      <c r="BB30" s="9" t="str">
        <f aca="false">IF(A30="","",1)</f>
        <v/>
      </c>
    </row>
    <row r="31" customFormat="false" ht="12.75" hidden="false" customHeight="false" outlineLevel="0" collapsed="false">
      <c r="A31" s="214"/>
      <c r="B31" s="215"/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/>
      </c>
      <c r="E31" s="217" t="n">
        <f aca="false">IF(D31="",0,VLOOKUP(D31,D$21:D30,1,0))</f>
        <v>0</v>
      </c>
      <c r="F31" s="218" t="n">
        <f aca="false">($B31*$B$7+$C31*$C$7)/100</f>
        <v>0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/>
      </c>
      <c r="H31" s="201" t="str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x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/>
      </c>
      <c r="L31" s="222"/>
      <c r="M31" s="222"/>
      <c r="N31" s="222"/>
      <c r="O31" s="206"/>
      <c r="P31" s="207" t="str">
        <f aca="false">IF(ISTEXT(H31),"",(B31*$B$7/100)+(C31*$C$7/100))</f>
        <v/>
      </c>
      <c r="Q31" s="208" t="str">
        <f aca="false">IF(OR(ISTEXT(H31),P31=0),"",IF(P31&lt;0.1,1,IF(P31&lt;1,2,IF(P31&lt;10,3,IF(P31&lt;50,4,IF(P31&gt;=50,5,""))))))</f>
        <v/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/>
      </c>
      <c r="Y31" s="9" t="str">
        <f aca="false">IF(ISERROR(MATCH(A31,'[1]liste reference'!$A$7:$A$906,0)),IF(ISERROR(MATCH(A31,'[1]liste reference'!$B$7:$B$906,0)),"",(MATCH(A31,'[1]liste reference'!$B$7:$B$906,0))),(MATCH(A31,'[1]liste reference'!$A$7:$A$906,0)))</f>
        <v/>
      </c>
      <c r="Z31" s="212"/>
      <c r="AA31" s="213"/>
      <c r="BB31" s="9" t="str">
        <f aca="false">IF(A31="","",1)</f>
        <v/>
      </c>
    </row>
    <row r="32" customFormat="false" ht="12.75" hidden="false" customHeight="false" outlineLevel="0" collapsed="false">
      <c r="A32" s="214"/>
      <c r="B32" s="215"/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/>
      </c>
      <c r="E32" s="217" t="n">
        <f aca="false">IF(D32="",0,VLOOKUP(D32,D$22:D31,1,0))</f>
        <v>0</v>
      </c>
      <c r="F32" s="218" t="n">
        <f aca="false">($B32*$B$7+$C32*$C$7)/100</f>
        <v>0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/>
      </c>
      <c r="H32" s="201" t="str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x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/>
      </c>
      <c r="L32" s="222"/>
      <c r="M32" s="222"/>
      <c r="N32" s="222"/>
      <c r="O32" s="206"/>
      <c r="P32" s="207" t="str">
        <f aca="false">IF(ISTEXT(H32),"",(B32*$B$7/100)+(C32*$C$7/100))</f>
        <v/>
      </c>
      <c r="Q32" s="208" t="str">
        <f aca="false">IF(OR(ISTEXT(H32),P32=0),"",IF(P32&lt;0.1,1,IF(P32&lt;1,2,IF(P32&lt;10,3,IF(P32&lt;50,4,IF(P32&gt;=50,5,""))))))</f>
        <v/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/>
      </c>
      <c r="Y32" s="9" t="str">
        <f aca="false">IF(ISERROR(MATCH(A32,'[1]liste reference'!$A$7:$A$906,0)),IF(ISERROR(MATCH(A32,'[1]liste reference'!$B$7:$B$906,0)),"",(MATCH(A32,'[1]liste reference'!$B$7:$B$906,0))),(MATCH(A32,'[1]liste reference'!$A$7:$A$906,0)))</f>
        <v/>
      </c>
      <c r="Z32" s="212"/>
      <c r="AA32" s="213"/>
      <c r="BB32" s="9" t="str">
        <f aca="false">IF(A32="","",1)</f>
        <v/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72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Petit Buech</v>
      </c>
      <c r="B84" s="247" t="str">
        <f aca="false">C3</f>
        <v>La Roche des Arnauds</v>
      </c>
      <c r="C84" s="248" t="n">
        <f aca="false">A4</f>
        <v>40028</v>
      </c>
      <c r="D84" s="249" t="n">
        <f aca="false">IF(ISERROR(SUM($S$23:$S$82)/SUM($T$23:$T$82)),"",SUM($S$23:$S$82)/SUM($T$23:$T$82))</f>
        <v>13</v>
      </c>
      <c r="E84" s="250" t="n">
        <f aca="false">N13</f>
        <v>1</v>
      </c>
      <c r="F84" s="247" t="n">
        <f aca="false">N14</f>
        <v>1</v>
      </c>
      <c r="G84" s="247" t="n">
        <f aca="false">N15</f>
        <v>0</v>
      </c>
      <c r="H84" s="247" t="n">
        <f aca="false">N16</f>
        <v>0</v>
      </c>
      <c r="I84" s="247" t="n">
        <f aca="false">N17</f>
        <v>1</v>
      </c>
      <c r="J84" s="251" t="n">
        <f aca="false">N8</f>
        <v>13</v>
      </c>
      <c r="K84" s="249" t="e">
        <f aca="false">N9</f>
        <v>#DIV/0!</v>
      </c>
      <c r="L84" s="250" t="n">
        <f aca="false">N10</f>
        <v>13</v>
      </c>
      <c r="M84" s="250" t="n">
        <f aca="false">N11</f>
        <v>13</v>
      </c>
      <c r="N84" s="249" t="n">
        <f aca="false">O8</f>
        <v>3</v>
      </c>
      <c r="O84" s="249" t="e">
        <f aca="false">O9</f>
        <v>#DIV/0!</v>
      </c>
      <c r="P84" s="250" t="n">
        <f aca="false">O10</f>
        <v>3</v>
      </c>
      <c r="Q84" s="250" t="n">
        <f aca="false">O11</f>
        <v>3</v>
      </c>
      <c r="R84" s="252" t="n">
        <f aca="false">F21</f>
        <v>0.009</v>
      </c>
      <c r="S84" s="250" t="n">
        <f aca="false">K11</f>
        <v>0</v>
      </c>
      <c r="T84" s="250" t="n">
        <f aca="false">K12</f>
        <v>1</v>
      </c>
      <c r="U84" s="250" t="n">
        <f aca="false">K13</f>
        <v>0</v>
      </c>
      <c r="V84" s="253" t="n">
        <f aca="false">K14</f>
        <v>0</v>
      </c>
      <c r="W84" s="254" t="n">
        <f aca="false">K15</f>
        <v>0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73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74</v>
      </c>
      <c r="Q87" s="9"/>
      <c r="R87" s="209" t="n">
        <f aca="false">VLOOKUP(MAX($R$23:$R$82),($R$23:$T$82),1,0)</f>
        <v>13</v>
      </c>
      <c r="S87" s="9"/>
      <c r="T87" s="9"/>
      <c r="U87" s="9"/>
    </row>
    <row r="88" customFormat="false" ht="12.75" hidden="true" customHeight="false" outlineLevel="0" collapsed="false">
      <c r="P88" s="9" t="s">
        <v>75</v>
      </c>
      <c r="Q88" s="9"/>
      <c r="R88" s="209" t="n">
        <f aca="false">VLOOKUP((R87),($R$23:$T$82),2,0)</f>
        <v>39</v>
      </c>
      <c r="S88" s="9"/>
      <c r="T88" s="9"/>
      <c r="U88" s="9"/>
    </row>
    <row r="89" customFormat="false" ht="12.75" hidden="true" customHeight="false" outlineLevel="0" collapsed="false">
      <c r="P89" s="9" t="s">
        <v>76</v>
      </c>
      <c r="Q89" s="9"/>
      <c r="R89" s="209" t="n">
        <f aca="false">VLOOKUP((R87),($R$23:$T$82),3,0)</f>
        <v>3</v>
      </c>
      <c r="S89" s="9"/>
    </row>
    <row r="90" customFormat="false" ht="12.75" hidden="true" customHeight="false" outlineLevel="0" collapsed="false">
      <c r="P90" s="9" t="s">
        <v>77</v>
      </c>
      <c r="Q90" s="9"/>
      <c r="R90" s="257" t="e">
        <f aca="false">IF(ISERROR(SUM($S$23:$S$82)/SUM($T$23:$T$82)),"",(SUM($S$23:$S$82)-R88)/(SUM($T$23:$T$82)-R89))</f>
        <v>#DIV/0!</v>
      </c>
      <c r="S90" s="9"/>
    </row>
    <row r="91" customFormat="false" ht="12.75" hidden="true" customHeight="false" outlineLevel="0" collapsed="false">
      <c r="P91" s="208" t="s">
        <v>78</v>
      </c>
      <c r="Q91" s="208"/>
      <c r="R91" s="208" t="str">
        <f aca="false">INDEX('[1]liste reference'!$A$7:$A$906,$S$91)</f>
        <v>ZYG.SPX</v>
      </c>
      <c r="S91" s="9" t="n">
        <f aca="false">IF(ISERROR(MATCH($R$93,'[1]liste reference'!$A$7:$A$906,0)),MATCH($R$93,'[1]liste reference'!$B$7:$B$906,0),(MATCH($R$93,'[1]liste reference'!$A$7:$A$906,0)))</f>
        <v>84</v>
      </c>
      <c r="T91" s="245"/>
    </row>
    <row r="92" customFormat="false" ht="12.75" hidden="true" customHeight="false" outlineLevel="0" collapsed="false">
      <c r="P92" s="9" t="s">
        <v>79</v>
      </c>
      <c r="Q92" s="9"/>
      <c r="R92" s="9" t="n">
        <f aca="false">MATCH(R87,$R$23:$R$82,0)</f>
        <v>1</v>
      </c>
      <c r="S92" s="9"/>
    </row>
    <row r="93" customFormat="false" ht="12.75" hidden="true" customHeight="false" outlineLevel="0" collapsed="false">
      <c r="P93" s="208" t="s">
        <v>80</v>
      </c>
      <c r="Q93" s="9"/>
      <c r="R93" s="208" t="str">
        <f aca="false">INDEX($A$23:$A$82,$R$92)</f>
        <v>ZYG.SPX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2013-10-22T15:29:55Z</dcterms:created>
  <dc:creator>elise.carnet</dc:creator>
  <dc:description/>
  <dc:language>fr-FR</dc:language>
  <cp:lastModifiedBy>elise.carnet</cp:lastModifiedBy>
  <dcterms:modified xsi:type="dcterms:W3CDTF">2013-10-22T15:30:12Z</dcterms:modified>
  <cp:revision>0</cp:revision>
  <dc:subject/>
  <dc:title/>
</cp:coreProperties>
</file>