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hidden" r:id="rId4"/>
    <sheet name="Récap." sheetId="3" state="hidden" r:id="rId5"/>
    <sheet name="notice" sheetId="4" state="hidden" r:id="rId6"/>
    <sheet name="note V4" sheetId="5" state="hidden" r:id="rId7"/>
    <sheet name="modele" sheetId="6" state="hidden" r:id="rId8"/>
    <sheet name="Bléone à Mallemoisson" sheetId="7" state="visible" r:id="rId9"/>
    <sheet name="liste codes réf" sheetId="8" state="hidden" r:id="rId10"/>
  </sheets>
  <definedNames>
    <definedName function="false" hidden="false" localSheetId="6" name="_xlnm.Print_Area" vbProcedure="false">'Bléone à Mallemoisson'!$A$1:$Q$82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5" name="_xlnm.Print_Area" vbProcedure="false">modele!$A$1:$Q$82</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modele!$A$1:$Q$82</definedName>
    <definedName function="false" hidden="false" localSheetId="5" name="_xlnm__FilterDatabase" vbProcedure="false">modele!$A$1:$C$1415</definedName>
    <definedName function="false" hidden="false" localSheetId="6" name="_xlnm_Print_Area" vbProcedure="false">'Bléone à Mallemoisson'!$A$1:$Q$82</definedName>
    <definedName function="false" hidden="false" localSheetId="6" name="_xlnm__FilterDatabase" vbProcedure="false">'Bléone à Mallemoisson'!$A$1:$C$1415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<sst xmlns="http://schemas.openxmlformats.org/spreadsheetml/2006/main" count="8832" uniqueCount="3495">
  <si>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</si>
  <si>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</si>
  <si>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</si>
  <si>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</si>
  <si>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</si>
  <si>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</si>
  <si>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</si>
  <si>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</si>
  <si>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</si>
  <si>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</si>
  <si>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</si>
  <si>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</si>
  <si>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</si>
  <si>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</si>
  <si>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</si>
  <si>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</si>
  <si>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</si>
  <si>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</si>
  <si>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</si>
  <si>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</si>
  <si>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</si>
  <si>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</si>
  <si>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</si>
  <si>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</si>
  <si>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</si>
  <si>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</si>
  <si>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</si>
  <si>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</si>
  <si>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</si>
  <si>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</si>
  <si>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</si>
  <si>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</si>
  <si>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</si>
  <si>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</si>
  <si>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</si>
  <si>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</si>
  <si>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</si>
  <si>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</si>
  <si>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</si>
  <si>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</si>
  <si>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</si>
  <si>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</si>
  <si>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</si>
  <si>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</si>
  <si>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</si>
  <si>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</si>
  <si>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</si>
  <si>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</si>
  <si>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</si>
  <si>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</si>
  <si>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</si>
  <si>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</si>
  <si>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</si>
  <si>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</si>
  <si>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</si>
  <si>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</si>
  <si>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</si>
  <si>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</si>
  <si>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</si>
  <si>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</si>
  <si>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</si>
  <si>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</si>
  <si>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</si>
  <si>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</si>
  <si>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</si>
  <si>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</si>
  <si>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</si>
  <si>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</si>
  <si>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</si>
  <si>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</si>
  <si>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</si>
  <si>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</si>
  <si>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</si>
  <si>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</si>
  <si>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</si>
  <si>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</si>
  <si>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</si>
  <si>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</si>
  <si>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</si>
  <si>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</si>
  <si>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</si>
  <si>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</si>
  <si>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</si>
  <si>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</si>
  <si>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</si>
  <si>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</si>
  <si>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</si>
  <si>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</si>
  <si>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</si>
  <si>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</si>
  <si>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</si>
  <si>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</si>
  <si>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</si>
  <si>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</si>
  <si>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</si>
  <si>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</si>
  <si>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</si>
  <si>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</si>
  <si>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</si>
  <si>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</si>
  <si>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</si>
  <si>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</si>
  <si>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</si>
  <si>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</si>
  <si>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</si>
  <si>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</si>
  <si>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</si>
  <si>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</si>
  <si>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</si>
  <si>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</si>
  <si>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</si>
  <si>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</si>
  <si>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</si>
  <si>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</si>
  <si>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</si>
  <si>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</si>
  <si>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</si>
  <si>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</si>
  <si>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</si>
  <si>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</si>
  <si>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</si>
  <si>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</si>
  <si>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</si>
  <si>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</si>
  <si>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</si>
  <si>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</si>
  <si>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</si>
  <si>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</si>
  <si>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</si>
  <si>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</si>
  <si>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</si>
  <si>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</si>
  <si>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</si>
  <si>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</si>
  <si>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</si>
  <si>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</si>
  <si>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</si>
  <si>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</si>
  <si>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</si>
  <si>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</si>
  <si>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</si>
  <si>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</si>
  <si>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</si>
  <si>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</si>
  <si>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</si>
  <si>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</si>
  <si>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</si>
  <si>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</si>
  <si>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</si>
  <si>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</si>
  <si>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</si>
  <si>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</si>
  <si>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</si>
  <si>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</si>
  <si>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</si>
  <si>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</si>
  <si>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</si>
  <si>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</si>
  <si>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</si>
  <si>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</si>
  <si>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</si>
  <si>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</si>
  <si>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</si>
  <si>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</si>
  <si>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</si>
  <si>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</si>
  <si>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</si>
  <si>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</si>
  <si>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</si>
  <si>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</si>
  <si>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</si>
  <si>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</si>
  <si>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</si>
  <si>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</si>
  <si>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</si>
  <si>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</si>
  <si>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</si>
  <si>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</si>
  <si>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</si>
  <si>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</si>
  <si>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</si>
  <si>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</si>
  <si>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</si>
  <si>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</si>
  <si>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</si>
  <si>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</si>
  <si>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</si>
  <si>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</si>
  <si>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</si>
  <si>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</si>
  <si>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</si>
  <si>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</si>
  <si>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</si>
  <si>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</si>
  <si>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</si>
  <si>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</si>
  <si>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</si>
  <si>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</si>
  <si>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</si>
  <si>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</si>
  <si>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</si>
  <si>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</si>
  <si>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</si>
  <si>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</si>
  <si>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</si>
  <si>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</si>
  <si>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</si>
  <si>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</si>
  <si>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</si>
  <si>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</si>
  <si>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</si>
  <si>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</si>
  <si>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</si>
  <si>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</si>
  <si>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</si>
  <si>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</si>
  <si>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</si>
  <si>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</si>
  <si>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</si>
  <si>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</si>
  <si>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</si>
  <si>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</si>
  <si>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</si>
  <si>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</si>
  <si>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</si>
  <si>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</si>
  <si>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</si>
  <si>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</si>
  <si>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</si>
  <si>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</si>
  <si>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</si>
  <si>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</si>
  <si>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</si>
  <si>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</si>
  <si>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</si>
  <si>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</si>
  <si>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</si>
  <si>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</si>
  <si>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</si>
  <si>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</si>
  <si>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</si>
  <si>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</si>
  <si>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</si>
  <si>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</si>
  <si>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</si>
  <si>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</si>
  <si>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</si>
  <si>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</si>
  <si>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</si>
  <si>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</si>
  <si>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</si>
  <si>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</si>
  <si>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</si>
  <si>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</si>
  <si>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</si>
  <si>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</si>
  <si>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</si>
  <si>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</si>
  <si>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</si>
  <si>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</si>
  <si>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</si>
  <si>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</si>
  <si>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</si>
  <si>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</si>
  <si>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</si>
  <si>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</si>
  <si>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</si>
  <si>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</si>
  <si>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</si>
  <si>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</si>
  <si>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</si>
  <si>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</si>
  <si>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</si>
  <si>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</si>
  <si>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</si>
  <si>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</si>
  <si>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</si>
  <si>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</si>
  <si>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</si>
  <si>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</si>
  <si>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</si>
  <si>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</si>
  <si>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</si>
  <si>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</si>
  <si>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</si>
  <si>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</si>
  <si>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</si>
  <si>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</si>
  <si>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</si>
  <si>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</si>
  <si>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</si>
  <si>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</si>
  <si>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</si>
  <si>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</si>
  <si>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</si>
  <si>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</si>
  <si>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</si>
  <si>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</si>
  <si>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</si>
  <si>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</si>
  <si>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</si>
  <si>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</si>
  <si>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</si>
  <si>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</si>
  <si>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</si>
  <si>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</si>
  <si>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</si>
  <si>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</si>
  <si>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</si>
  <si>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</si>
  <si>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</si>
  <si>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</si>
  <si>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</si>
  <si>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</si>
  <si>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</si>
  <si>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</si>
  <si>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</si>
  <si>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</si>
  <si>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</si>
  <si>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</si>
  <si>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</si>
  <si>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</si>
  <si>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</si>
  <si>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</si>
  <si>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</si>
  <si>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</si>
  <si>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</si>
  <si>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</si>
  <si>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</si>
  <si>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</si>
  <si>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</si>
  <si>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</si>
  <si>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</si>
  <si>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</si>
  <si>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</si>
  <si>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</si>
  <si>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</si>
  <si>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</si>
  <si>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</si>
  <si>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</si>
  <si>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</si>
  <si>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</si>
  <si>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</si>
  <si>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</si>
  <si>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</si>
  <si>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</si>
  <si>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</si>
  <si>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</si>
  <si>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</si>
  <si>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</si>
  <si>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</si>
  <si>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</si>
  <si>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</si>
  <si>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</si>
  <si>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</si>
  <si>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</si>
  <si>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</si>
  <si>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</si>
  <si>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</si>
  <si>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</si>
  <si>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</si>
  <si>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</si>
  <si>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</si>
  <si>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</si>
  <si>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</si>
  <si>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</si>
  <si>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</si>
  <si>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</si>
  <si>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</si>
  <si>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</si>
  <si>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</si>
  <si>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</si>
  <si>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</si>
  <si>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</si>
  <si>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</si>
  <si>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</si>
  <si>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</si>
  <si>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</si>
  <si>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</si>
  <si>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</si>
  <si>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</si>
  <si>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</si>
  <si>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</si>
  <si>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</si>
  <si>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</si>
  <si>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</si>
  <si>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</si>
  <si>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</si>
  <si>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</si>
  <si>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</si>
  <si>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</si>
  <si>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</si>
  <si>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</si>
  <si>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</si>
  <si>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</si>
  <si>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</si>
  <si>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</si>
  <si>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</si>
  <si>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</si>
  <si>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</si>
  <si>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</si>
  <si>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</si>
  <si>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</si>
  <si>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</si>
  <si>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</si>
  <si>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</si>
  <si>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</si>
  <si>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</si>
  <si>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</si>
  <si>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</si>
  <si>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</si>
  <si>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</si>
  <si>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</si>
  <si>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</si>
  <si>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</si>
  <si>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</si>
  <si>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</si>
  <si>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</si>
  <si>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</si>
  <si>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</si>
  <si>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</si>
  <si>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</si>
  <si>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</si>
  <si>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</si>
  <si>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</si>
  <si>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</si>
  <si>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</si>
  <si>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</si>
  <si>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</si>
  <si>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</si>
  <si>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</si>
  <si>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</si>
  <si>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</si>
  <si>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</si>
  <si>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</si>
  <si>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</si>
  <si>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</si>
  <si>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</si>
  <si>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</si>
  <si>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</si>
  <si>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</si>
  <si>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</si>
  <si>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</si>
  <si>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</si>
  <si>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</si>
  <si>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</si>
  <si>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</si>
  <si>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</si>
  <si>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</si>
  <si>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</si>
  <si>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</si>
  <si>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</si>
  <si>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</si>
  <si>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</si>
  <si>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</si>
  <si>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</si>
  <si>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</si>
  <si>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</si>
  <si>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</si>
  <si>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</si>
  <si>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</si>
  <si>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</si>
  <si>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</si>
  <si>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</si>
  <si>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</si>
  <si>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</si>
  <si>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</si>
  <si>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</si>
  <si>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</si>
  <si>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</si>
  <si>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</si>
  <si>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</si>
  <si>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</si>
  <si>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</si>
  <si>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</si>
  <si>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</si>
  <si>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</si>
  <si>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</si>
  <si>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</si>
  <si>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</si>
  <si>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</si>
  <si>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</si>
  <si>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</si>
  <si>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</si>
  <si>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</si>
  <si>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</si>
  <si>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</si>
  <si>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</si>
  <si>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</si>
  <si>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</si>
  <si>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</si>
  <si>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</si>
  <si>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</si>
  <si>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</si>
  <si>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</si>
  <si>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</si>
  <si>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</si>
  <si>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</si>
  <si>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</si>
  <si>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</si>
  <si>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</si>
  <si>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</si>
  <si>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</si>
  <si>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</si>
  <si>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</si>
  <si>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</si>
  <si>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</si>
  <si>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</si>
  <si>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</si>
  <si>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</si>
  <si>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</si>
  <si>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</si>
  <si>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</si>
  <si>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</si>
  <si>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</si>
  <si>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</si>
  <si>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</si>
  <si>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</si>
  <si>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</si>
  <si>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</si>
  <si>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</si>
  <si>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</si>
  <si>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</si>
  <si>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</si>
  <si>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</si>
  <si>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</si>
  <si>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</si>
  <si>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</si>
  <si>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</si>
  <si>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</si>
  <si>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</si>
  <si>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</si>
  <si>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</si>
  <si>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</si>
  <si>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</si>
  <si>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</si>
  <si>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</si>
  <si>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</si>
  <si>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</si>
  <si>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</si>
  <si>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</si>
  <si>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</si>
  <si>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</si>
  <si>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</si>
  <si>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</si>
  <si>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</si>
  <si>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</si>
  <si>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</si>
  <si>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</si>
  <si>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</si>
  <si>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</si>
  <si>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</si>
  <si>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</si>
  <si>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</si>
  <si>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</si>
  <si>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</si>
  <si>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</si>
  <si>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</si>
  <si>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</si>
  <si>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</si>
  <si>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</si>
  <si>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</si>
  <si>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</si>
  <si>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</si>
  <si>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</si>
  <si>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</si>
  <si>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</si>
  <si>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</si>
  <si>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</si>
  <si>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</si>
  <si>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</si>
  <si>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</si>
  <si>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</si>
  <si>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</si>
  <si>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</si>
  <si>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</si>
  <si>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</si>
  <si>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</si>
  <si>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</si>
  <si>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</si>
  <si>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</si>
  <si>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</si>
  <si>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</si>
  <si>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</si>
  <si>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</si>
  <si>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</si>
  <si>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</si>
  <si>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</si>
  <si>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</si>
  <si>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</si>
  <si>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</si>
  <si>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</si>
  <si>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</si>
  <si>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</si>
  <si>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</si>
  <si>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</si>
  <si>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</si>
  <si>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</si>
  <si>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</si>
  <si>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</si>
  <si>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</si>
  <si>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</si>
  <si>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</si>
  <si>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</si>
  <si>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</si>
  <si>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</si>
  <si>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</si>
  <si>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</si>
  <si>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</si>
  <si>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</si>
  <si>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</si>
  <si>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</si>
  <si>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</si>
  <si>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</si>
  <si>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</si>
  <si>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</si>
  <si>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</si>
  <si>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</si>
  <si>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</si>
  <si>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</si>
  <si>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</si>
  <si>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</si>
  <si>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</si>
  <si>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</si>
  <si>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</si>
  <si>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</si>
  <si>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</si>
  <si>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</si>
  <si>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</si>
  <si>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</si>
  <si>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</si>
  <si>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</si>
  <si>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</si>
  <si>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</si>
  <si>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</si>
  <si>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</si>
  <si>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</si>
  <si>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</si>
  <si>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</si>
  <si>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</si>
  <si>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</si>
  <si>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</si>
  <si>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</si>
  <si>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</si>
  <si>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</si>
  <si>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</si>
  <si>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</si>
  <si>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</si>
  <si>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</si>
  <si>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</si>
  <si>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</si>
  <si>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</si>
  <si>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</si>
  <si>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</si>
  <si>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</si>
  <si>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</si>
  <si>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</si>
  <si>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</si>
  <si>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</si>
  <si>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</si>
  <si>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</si>
  <si>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</si>
  <si>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</si>
  <si>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</si>
  <si>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</si>
  <si>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</si>
  <si>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</si>
  <si>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</si>
  <si>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</si>
  <si>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</si>
  <si>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</si>
  <si>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</si>
  <si>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</si>
  <si>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</si>
  <si>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</si>
  <si>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</si>
  <si>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</si>
  <si>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</si>
  <si>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</si>
  <si>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</si>
  <si>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</si>
  <si>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</si>
  <si>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</si>
  <si>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</si>
  <si>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</si>
  <si>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</si>
  <si>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</si>
  <si>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</si>
  <si>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</si>
  <si>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</si>
  <si>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</si>
  <si>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</si>
  <si>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</si>
  <si>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</si>
  <si>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</si>
  <si>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</si>
  <si>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</si>
  <si>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</si>
  <si>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</si>
  <si>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</si>
  <si>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</si>
  <si>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</si>
  <si>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</si>
  <si>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</si>
  <si>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</si>
  <si>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</si>
  <si>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</si>
  <si>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</si>
  <si>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</si>
  <si>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</si>
  <si>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</si>
  <si>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</si>
  <si>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</si>
  <si>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</si>
  <si>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</si>
  <si>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</si>
  <si>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</si>
  <si>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</si>
  <si>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</si>
  <si>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</si>
  <si>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</si>
  <si>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</si>
  <si>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</si>
  <si>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</si>
  <si>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</si>
  <si>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</si>
  <si>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</si>
  <si>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</si>
  <si>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</si>
  <si>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</si>
  <si>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</si>
  <si>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</si>
  <si>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</si>
  <si>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</si>
  <si>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</si>
  <si>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</si>
  <si>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</si>
  <si>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</si>
  <si>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</si>
  <si>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</si>
  <si>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</si>
  <si>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</si>
  <si>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</si>
  <si>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</si>
  <si>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</si>
  <si>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</si>
  <si>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</si>
  <si>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</si>
  <si>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</si>
  <si>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</si>
  <si>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</si>
  <si>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</si>
  <si>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</si>
  <si>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</si>
  <si>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</si>
  <si>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</si>
  <si>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</si>
  <si>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</si>
  <si>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</si>
  <si>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</si>
  <si>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</si>
  <si>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</si>
  <si>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</si>
  <si>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</si>
  <si>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</si>
  <si>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</si>
  <si>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</si>
  <si>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</si>
  <si>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</si>
  <si>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</si>
  <si>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</si>
  <si>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</si>
  <si>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</si>
  <si>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</si>
  <si>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</si>
  <si>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</si>
  <si>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</si>
  <si>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</si>
  <si>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</si>
  <si>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</si>
  <si>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</si>
  <si>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</si>
  <si>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</si>
  <si>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</si>
  <si>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</si>
  <si>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</si>
  <si>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</si>
  <si>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</si>
  <si>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</si>
  <si>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</si>
  <si>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</si>
  <si>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</si>
  <si>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</si>
  <si>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</si>
  <si>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</si>
  <si>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</si>
  <si>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</si>
  <si>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</si>
  <si>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</si>
  <si>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</si>
  <si>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</si>
  <si>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</si>
  <si>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</si>
  <si>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</si>
  <si>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</si>
  <si>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</si>
  <si>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</si>
  <si>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</si>
  <si>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</si>
  <si>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</si>
  <si>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</si>
  <si>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</si>
  <si>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</si>
  <si>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</si>
  <si>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</si>
  <si>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</si>
  <si>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</si>
  <si>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</si>
  <si>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</si>
  <si>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</si>
  <si>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</si>
  <si>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</si>
  <si>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</si>
  <si>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</si>
  <si>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</si>
  <si>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</si>
  <si>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</si>
  <si>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</si>
  <si>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</si>
  <si>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</si>
  <si>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</si>
  <si>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</si>
  <si>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</si>
  <si>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</si>
  <si>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</si>
  <si>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</si>
  <si>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</si>
  <si>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</si>
  <si>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</si>
  <si>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</si>
  <si>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</si>
  <si>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</si>
  <si>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</si>
  <si>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</si>
  <si>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</si>
  <si>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</si>
  <si>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</si>
  <si>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</si>
  <si>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</si>
  <si>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</si>
  <si>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</si>
  <si>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</si>
  <si>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</si>
  <si>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</si>
  <si>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</si>
  <si>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</si>
  <si>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</si>
  <si>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</si>
  <si>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</si>
  <si>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</si>
  <si>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</si>
  <si>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</si>
  <si>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</si>
  <si>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</si>
  <si>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</si>
  <si>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</si>
  <si>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</si>
  <si>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</si>
  <si>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</si>
  <si>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</si>
  <si>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</si>
  <si>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</si>
  <si>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</si>
  <si>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</si>
  <si>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</si>
  <si>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</si>
  <si>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</si>
  <si>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</si>
  <si>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</si>
  <si>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</si>
  <si>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</si>
  <si>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</si>
  <si>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</si>
  <si>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</si>
  <si>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</si>
  <si>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</si>
  <si>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</si>
  <si>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</si>
  <si>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</si>
  <si>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</si>
  <si>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</si>
  <si>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</si>
  <si>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</si>
  <si>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</si>
  <si>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</si>
  <si>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</si>
  <si>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</si>
  <si>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</si>
  <si>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</si>
  <si>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</si>
  <si>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</si>
  <si>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</si>
  <si>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</si>
  <si>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</si>
  <si>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</si>
  <si>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</si>
  <si>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</si>
  <si>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</si>
  <si>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</si>
  <si>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</si>
  <si>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</si>
  <si>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</si>
  <si>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</si>
  <si>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</si>
  <si>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</si>
  <si>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</si>
  <si>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</si>
  <si>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</si>
  <si>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</si>
  <si>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</si>
  <si>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</si>
  <si>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</si>
  <si>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</si>
  <si>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</si>
  <si>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</si>
  <si>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</si>
  <si>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</si>
  <si>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</si>
  <si>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</si>
  <si>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</si>
  <si>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</si>
  <si>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</si>
  <si>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</si>
  <si>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</si>
  <si>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</si>
  <si>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</si>
  <si>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</si>
  <si>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</si>
  <si>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</si>
  <si>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</si>
  <si>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</si>
  <si>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</si>
  <si>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</si>
  <si>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</si>
  <si>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</si>
  <si>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</si>
  <si>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</si>
  <si>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</si>
  <si>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</si>
  <si>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</si>
  <si>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</si>
  <si>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</si>
  <si>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</si>
  <si>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</si>
  <si>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</si>
  <si>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</si>
  <si>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</si>
  <si>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</si>
  <si>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</si>
  <si>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</si>
  <si>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</si>
  <si>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</si>
  <si>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</si>
  <si>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</si>
  <si>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</si>
  <si>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</si>
  <si>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</si>
  <si>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</si>
  <si>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</si>
  <si>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</si>
  <si>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</si>
  <si>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</si>
  <si>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</si>
  <si>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</si>
  <si>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</si>
  <si>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</si>
  <si>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</si>
  <si>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</si>
  <si>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</si>
  <si>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</si>
  <si>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</si>
  <si>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</si>
  <si>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</si>
  <si>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</si>
  <si>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</si>
  <si>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</si>
  <si>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</si>
  <si>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</si>
  <si>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</si>
  <si>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</si>
  <si>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</si>
  <si>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</si>
  <si>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</si>
  <si>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</si>
  <si>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</si>
  <si>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</si>
  <si>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</si>
  <si>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</si>
  <si>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</si>
  <si>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</si>
  <si>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</si>
  <si>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</si>
  <si>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</si>
  <si>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</si>
  <si>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</si>
  <si>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</si>
  <si>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</si>
  <si>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</si>
  <si>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</si>
  <si>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</si>
  <si>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</si>
  <si>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</si>
  <si>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</si>
  <si>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</si>
  <si>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</si>
  <si>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</si>
  <si>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</si>
  <si>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</si>
  <si>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</si>
  <si>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</si>
  <si>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</si>
  <si>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</si>
  <si>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</si>
  <si>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</si>
  <si>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</si>
  <si>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</si>
  <si>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</si>
  <si>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</si>
  <si>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</si>
  <si>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</si>
  <si>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</si>
  <si>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</si>
  <si>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</si>
  <si>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</si>
  <si>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</si>
  <si>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</si>
  <si>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</si>
  <si>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</si>
  <si>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</si>
  <si>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</si>
  <si>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</si>
  <si>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</si>
  <si>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</si>
  <si>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</si>
  <si>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</si>
  <si>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</si>
  <si>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</si>
  <si>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</si>
  <si>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</si>
  <si>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</si>
  <si>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</si>
  <si>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</si>
  <si>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</si>
  <si>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</si>
  <si>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</si>
  <si>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</si>
  <si>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</si>
  <si>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</si>
  <si>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</si>
  <si>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</si>
  <si>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</si>
  <si>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</si>
  <si>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</si>
  <si>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</si>
  <si>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</si>
  <si>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</si>
  <si>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</si>
  <si>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</si>
  <si>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</si>
  <si>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</si>
  <si>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</si>
  <si>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</si>
  <si>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</si>
  <si>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</si>
  <si>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</si>
  <si>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</si>
  <si>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</si>
  <si>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</si>
  <si>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</si>
  <si>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</si>
  <si>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</si>
  <si>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</si>
  <si>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</si>
  <si>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</si>
  <si>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</si>
  <si>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</si>
  <si>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</si>
  <si>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</si>
  <si>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</si>
  <si>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</si>
  <si>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</si>
  <si>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</si>
  <si>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</si>
  <si>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</si>
  <si>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</si>
  <si>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</si>
  <si>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</si>
  <si>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</si>
  <si>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</si>
  <si>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</si>
  <si>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</si>
  <si>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</si>
  <si>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</si>
  <si>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</si>
  <si>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</si>
  <si>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</si>
  <si>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</si>
  <si>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</si>
  <si>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</si>
  <si>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</si>
  <si>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</si>
  <si>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</si>
  <si>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</si>
  <si>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</si>
  <si>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</si>
  <si>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</si>
  <si>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</si>
  <si>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</si>
  <si>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</si>
  <si>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</si>
  <si>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</si>
  <si>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</si>
  <si>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</si>
  <si>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</si>
  <si>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</si>
  <si>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</si>
  <si>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</si>
  <si>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</si>
  <si>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</si>
  <si>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</si>
  <si>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</si>
  <si>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</si>
  <si>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</si>
  <si>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</si>
  <si>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</si>
  <si>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</si>
  <si>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</si>
  <si>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</si>
  <si>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</si>
  <si>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</si>
  <si>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</si>
  <si>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</si>
  <si>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</si>
  <si>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</si>
  <si>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</si>
  <si>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</si>
  <si>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</si>
  <si>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</si>
  <si>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</si>
  <si>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</si>
  <si>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</si>
  <si>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</si>
  <si>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</si>
  <si>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</si>
  <si>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</si>
  <si>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</si>
  <si>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</si>
  <si>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</si>
  <si>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</si>
  <si>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</si>
  <si>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</si>
  <si>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</si>
  <si>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</si>
  <si>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</si>
  <si>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</si>
  <si>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</si>
  <si>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</si>
  <si>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</si>
  <si>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</si>
  <si>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</si>
  <si>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</si>
  <si>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</si>
  <si>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</si>
  <si>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</si>
  <si>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</si>
  <si>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</si>
  <si>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</si>
  <si>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</si>
  <si>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</si>
  <si>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</si>
  <si>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</si>
  <si>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</si>
  <si>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</si>
  <si>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</si>
  <si>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</si>
  <si>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</si>
  <si>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</si>
  <si>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</si>
  <si>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</si>
  <si>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</si>
  <si>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</si>
  <si>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</si>
  <si>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</si>
  <si>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</si>
  <si>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</si>
  <si>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</si>
  <si>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</si>
  <si>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</si>
  <si>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</si>
  <si>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</si>
  <si>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</si>
  <si>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</si>
  <si>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</si>
  <si>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</si>
  <si>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</si>
  <si>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</si>
  <si>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</si>
  <si>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</si>
  <si>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</si>
  <si>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</si>
  <si>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</si>
  <si>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</si>
  <si>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</si>
  <si>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</si>
  <si>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</si>
  <si>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</si>
  <si>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</si>
  <si>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</si>
  <si>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</si>
  <si>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</si>
  <si>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</si>
  <si>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</si>
  <si>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</si>
  <si>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</si>
  <si>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</si>
  <si>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</si>
  <si>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</si>
  <si>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</si>
  <si>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</si>
  <si>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</si>
  <si>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</si>
  <si>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</si>
  <si>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</si>
  <si>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</si>
  <si>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</si>
  <si>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</si>
  <si>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</si>
  <si>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</si>
  <si>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</si>
  <si>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</si>
  <si>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</si>
  <si>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</si>
  <si>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</si>
  <si>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</si>
  <si>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</si>
  <si>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</si>
  <si>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</si>
  <si>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</si>
  <si>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</si>
  <si>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</si>
  <si>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</si>
  <si>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</si>
  <si>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</si>
  <si>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</si>
  <si>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</si>
  <si>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</si>
  <si>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</si>
  <si>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</si>
  <si>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</si>
  <si>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</si>
  <si>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</si>
  <si>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</si>
  <si>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</si>
  <si>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</si>
  <si>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</si>
  <si>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</si>
  <si>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</si>
  <si>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</si>
  <si>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</si>
  <si>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</si>
  <si>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</si>
  <si>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</si>
  <si>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</si>
  <si>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</si>
  <si>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</si>
  <si>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</si>
  <si>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</si>
  <si>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</si>
  <si>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</si>
  <si>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</si>
  <si>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</si>
  <si>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</si>
  <si>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</si>
  <si>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</si>
  <si>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</si>
  <si>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</si>
  <si>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</si>
  <si>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</si>
  <si>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</si>
  <si>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</si>
  <si>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</si>
  <si>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</si>
  <si>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</si>
  <si>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</si>
  <si>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</si>
  <si>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</si>
  <si>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</si>
  <si>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</si>
  <si>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</si>
  <si>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</si>
  <si>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</si>
  <si>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</si>
  <si>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</si>
  <si>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</si>
  <si>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</si>
  <si>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</si>
  <si>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</si>
  <si>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</si>
  <si>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</si>
  <si>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</si>
  <si>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</si>
  <si>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</si>
  <si>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</si>
  <si>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</si>
  <si>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</si>
  <si>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</si>
  <si>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</si>
  <si>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</si>
  <si>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</si>
  <si>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</si>
  <si>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</si>
  <si>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</si>
  <si>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</si>
  <si>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</si>
  <si>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</si>
  <si>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</si>
  <si>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</si>
  <si>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</si>
  <si>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</si>
  <si>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</si>
  <si>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</si>
  <si>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</si>
  <si>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</si>
  <si>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</si>
  <si>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</si>
  <si>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</si>
  <si>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</si>
  <si>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</si>
  <si>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</si>
  <si>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</si>
  <si>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</si>
  <si>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</si>
  <si>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</si>
  <si>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</si>
  <si>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</si>
  <si>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</si>
  <si>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</si>
  <si>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</si>
  <si>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</si>
  <si>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</si>
  <si>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</si>
  <si>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</si>
  <si>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</si>
  <si>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</si>
  <si>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</si>
  <si>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</si>
  <si>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</si>
  <si>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</si>
  <si>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</si>
  <si>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</si>
  <si>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</si>
  <si>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</si>
  <si>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</si>
  <si>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</si>
  <si>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</si>
  <si>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</si>
  <si>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</si>
  <si>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</si>
  <si>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</si>
  <si>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</si>
  <si>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</si>
  <si>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</si>
  <si>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</si>
  <si>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</si>
  <si>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</si>
  <si>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</si>
  <si>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</si>
  <si>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</si>
  <si>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</si>
  <si>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</si>
  <si>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</si>
  <si>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</si>
  <si>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</si>
  <si>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</si>
  <si>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</si>
  <si>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</si>
  <si>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</si>
  <si>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</si>
  <si>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</si>
  <si>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</si>
  <si>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</si>
  <si>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</si>
  <si>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</si>
  <si>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</si>
  <si>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</si>
  <si>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</si>
  <si>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</si>
  <si>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</si>
  <si>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</si>
  <si>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</si>
  <si>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</si>
  <si>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</si>
  <si>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</si>
  <si>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</si>
  <si>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</si>
  <si>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</si>
  <si>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</si>
  <si>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</si>
  <si>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</si>
  <si>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</si>
  <si>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</si>
  <si>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</si>
  <si>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</si>
  <si>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</si>
  <si>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</si>
  <si>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</si>
  <si>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</si>
  <si>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</si>
  <si>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</si>
  <si>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</si>
  <si>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</si>
  <si>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</si>
  <si>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</si>
  <si>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</si>
  <si>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</si>
  <si>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</si>
  <si>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</si>
  <si>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</si>
  <si>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</si>
  <si>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</si>
  <si>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</si>
  <si>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</si>
  <si>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</si>
  <si>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</si>
  <si>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</si>
  <si>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</si>
  <si>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</si>
  <si>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</si>
  <si>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</si>
  <si>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</si>
  <si>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</si>
  <si>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</si>
  <si>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</si>
  <si>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</si>
  <si>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</si>
  <si>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</si>
  <si>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</si>
  <si>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</si>
  <si>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</si>
  <si>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</si>
  <si>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</si>
  <si>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</si>
  <si>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</si>
  <si>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</si>
  <si>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</si>
  <si>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</si>
  <si>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</si>
  <si>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</si>
  <si>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</si>
  <si>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</si>
  <si>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</si>
  <si>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</si>
  <si>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</si>
  <si>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</si>
  <si>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</si>
  <si>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</si>
  <si>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</si>
  <si>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</si>
  <si>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</si>
  <si>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</si>
  <si>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</si>
  <si>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</si>
  <si>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</si>
  <si>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</si>
  <si>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</si>
  <si>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</si>
  <si>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</si>
  <si>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</si>
  <si>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</si>
  <si>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</si>
  <si>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</si>
  <si>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</si>
  <si>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</si>
  <si>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</si>
  <si>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</si>
  <si>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</si>
  <si>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</si>
  <si>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</si>
  <si>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</si>
  <si>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</si>
  <si>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</si>
  <si>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</si>
  <si>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</si>
  <si>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</si>
  <si>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</si>
  <si>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</si>
  <si>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</si>
  <si>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</si>
  <si>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</si>
  <si>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</si>
  <si>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</si>
  <si>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</si>
  <si>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</si>
  <si>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</si>
  <si>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</si>
  <si>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</si>
  <si>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</si>
  <si>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</si>
  <si>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</si>
  <si>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</si>
  <si>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</si>
  <si>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</si>
  <si>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</si>
  <si>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</si>
  <si>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</si>
  <si>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</si>
  <si>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</si>
  <si>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</si>
  <si>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</si>
  <si>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</si>
  <si>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</si>
  <si>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</si>
  <si>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</si>
  <si>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</si>
  <si>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</si>
  <si>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</si>
  <si>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</si>
  <si>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</si>
  <si>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</si>
  <si>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</si>
  <si>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</si>
  <si>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</si>
  <si>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</si>
  <si>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</si>
  <si>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</si>
  <si>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</si>
  <si>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</si>
  <si>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</si>
  <si>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</si>
  <si>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</si>
  <si>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</si>
  <si>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</si>
  <si>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</si>
  <si>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</si>
  <si>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</si>
  <si>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</si>
  <si>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</si>
  <si>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</si>
  <si>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</si>
  <si>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</si>
  <si>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</si>
  <si>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</si>
  <si>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</si>
  <si>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</si>
  <si>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</si>
  <si>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</si>
  <si>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</si>
  <si>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</si>
  <si>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</si>
  <si>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</si>
  <si>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</si>
  <si>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</si>
  <si>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</si>
  <si>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</si>
  <si>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</si>
  <si>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</si>
  <si>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</si>
  <si>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</si>
  <si>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</si>
  <si>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</si>
  <si>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</si>
  <si>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</si>
  <si>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</si>
  <si>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</si>
  <si>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</si>
  <si>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</si>
  <si>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</si>
  <si>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</si>
  <si>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</si>
  <si>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</si>
  <si>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</si>
  <si>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</si>
  <si>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</si>
  <si>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</si>
  <si>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</si>
  <si>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</si>
  <si>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</si>
  <si>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</si>
  <si>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</si>
  <si>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</si>
  <si>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</si>
  <si>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</si>
  <si>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</si>
  <si>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</si>
  <si>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</si>
  <si>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</si>
  <si>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</si>
  <si>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</si>
  <si>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</si>
  <si>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</si>
  <si>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</si>
  <si>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</si>
  <si>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</si>
  <si>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</si>
  <si>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</si>
  <si>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</si>
  <si>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</si>
  <si>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</si>
  <si>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</si>
  <si>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</si>
  <si>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</si>
  <si>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</si>
  <si>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</si>
  <si>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</si>
  <si>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</si>
  <si>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</si>
  <si>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</si>
  <si>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</si>
  <si>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</si>
  <si>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</si>
  <si>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</si>
  <si>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</si>
  <si>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</si>
  <si>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</si>
  <si>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</si>
  <si>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</si>
  <si>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</si>
  <si>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</si>
  <si>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</si>
  <si>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</si>
  <si>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</si>
  <si>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</si>
  <si>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</si>
  <si>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</si>
  <si>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</si>
  <si>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</si>
  <si>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</si>
  <si>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</si>
  <si>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</si>
  <si>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</si>
  <si>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</si>
  <si>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</si>
  <si>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</si>
  <si>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</si>
  <si>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</si>
  <si>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</si>
  <si>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</si>
  <si>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</si>
  <si>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</si>
  <si>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</si>
  <si>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</si>
  <si>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</si>
  <si>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</si>
  <si>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</si>
  <si>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</si>
  <si>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</si>
  <si>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</si>
  <si>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</si>
  <si>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</si>
  <si>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</si>
  <si>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</si>
  <si>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</si>
  <si>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</si>
  <si>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</si>
  <si>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</si>
  <si>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</si>
  <si>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</si>
  <si>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</si>
  <si>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</si>
  <si>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</si>
  <si>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</si>
  <si>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</si>
  <si>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</si>
  <si>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</si>
  <si>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</si>
  <si>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</si>
  <si>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</si>
  <si>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</si>
  <si>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</si>
  <si>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</si>
  <si>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</si>
  <si>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</si>
  <si>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</si>
  <si>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</si>
  <si>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</si>
  <si>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</si>
  <si>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</si>
  <si>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</si>
  <si>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</si>
  <si>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</si>
  <si>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</si>
  <si>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</si>
  <si>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</si>
  <si>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</si>
  <si>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</si>
  <si>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</si>
  <si>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</si>
  <si>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</si>
  <si>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</si>
  <si>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</si>
  <si>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</si>
  <si>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</si>
  <si>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</si>
  <si>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</si>
  <si>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</si>
  <si>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</si>
  <si>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</si>
  <si>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</si>
  <si>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</si>
  <si>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</si>
  <si>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</si>
  <si>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</si>
  <si>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</si>
  <si>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</si>
  <si>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</si>
  <si>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</si>
  <si>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</si>
  <si>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</si>
  <si>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</si>
  <si>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</si>
  <si>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</si>
  <si>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</si>
  <si>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</si>
  <si>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</si>
  <si>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</si>
  <si>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</si>
  <si>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</si>
  <si>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</si>
  <si>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</si>
  <si>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</si>
  <si>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</si>
  <si>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</si>
  <si>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</si>
  <si>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</si>
  <si>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</si>
  <si>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</si>
  <si>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</si>
  <si>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</si>
  <si>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</si>
  <si>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</si>
  <si>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</si>
  <si>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</si>
  <si>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</si>
  <si>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</si>
  <si>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</si>
  <si>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</si>
  <si>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</si>
  <si>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</si>
  <si>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</si>
  <si>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</si>
  <si>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</si>
  <si>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</si>
  <si>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</si>
  <si>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</si>
  <si>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</si>
  <si>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</si>
  <si>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</si>
  <si>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</si>
  <si>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</si>
  <si>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</si>
  <si>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</si>
  <si>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</si>
  <si>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</si>
  <si>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</si>
  <si>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</si>
  <si>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</si>
  <si>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</si>
  <si>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</si>
  <si>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</si>
  <si>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</si>
  <si>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</si>
  <si>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</si>
  <si>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</si>
  <si>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</si>
  <si>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</si>
  <si>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</si>
  <si>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</si>
  <si>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</si>
  <si>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</si>
  <si>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</si>
  <si>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</si>
  <si>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</si>
  <si>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</si>
  <si>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</si>
  <si>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</si>
  <si>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</si>
  <si>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</si>
  <si>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</si>
  <si>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</si>
  <si>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</si>
  <si>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</si>
  <si>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</si>
  <si>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</si>
  <si>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</si>
  <si>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</si>
  <si>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</si>
  <si>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</si>
  <si>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</si>
  <si>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</si>
  <si>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</si>
  <si>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</si>
  <si>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</si>
  <si>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</si>
  <si>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</si>
  <si>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</si>
  <si>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</si>
  <si>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</si>
  <si>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</si>
  <si>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</si>
  <si>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</si>
  <si>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</si>
  <si>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</si>
  <si>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</si>
  <si>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</si>
  <si>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</si>
  <si>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</si>
  <si>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</si>
  <si>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</si>
  <si>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</si>
  <si>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</si>
  <si>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</si>
  <si>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</si>
  <si>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</si>
  <si>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</si>
  <si>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</si>
  <si>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</si>
  <si>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</si>
  <si>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</si>
  <si>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</si>
  <si>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</si>
  <si>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</si>
  <si>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</si>
  <si>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</si>
  <si>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</si>
  <si>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</si>
  <si>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</si>
  <si>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</si>
  <si>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</si>
  <si>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</si>
  <si>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</si>
  <si>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</si>
  <si>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</si>
  <si>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</si>
  <si>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</si>
  <si>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</si>
  <si>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</si>
  <si>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</si>
  <si>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</si>
  <si>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</si>
  <si>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</si>
  <si>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</si>
  <si>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</si>
  <si>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</si>
  <si>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</si>
  <si>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</si>
  <si>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</si>
  <si>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</si>
  <si>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</si>
  <si>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</si>
  <si>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</si>
  <si>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</si>
  <si>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</si>
  <si>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</si>
  <si>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</si>
  <si>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</si>
  <si>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</si>
  <si>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</si>
  <si>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</si>
  <si>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</si>
  <si>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</si>
  <si>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</si>
  <si>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</si>
  <si>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</si>
  <si>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</si>
  <si>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</si>
  <si>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</si>
  <si>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</si>
  <si>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</si>
  <si>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</si>
  <si>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</si>
  <si>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</si>
  <si>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</si>
  <si>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</si>
  <si>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</si>
  <si>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</si>
  <si>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</si>
  <si>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</si>
  <si>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</si>
  <si>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</si>
  <si>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</si>
  <si>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</si>
  <si>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</si>
  <si>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</si>
  <si>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</si>
  <si>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</si>
  <si>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</si>
  <si>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</si>
  <si>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</si>
  <si>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</si>
  <si>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</si>
  <si>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</si>
  <si>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</si>
  <si>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</si>
  <si>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</si>
  <si>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</si>
  <si>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</si>
  <si>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</si>
  <si>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</si>
  <si>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</si>
  <si>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</si>
  <si>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</si>
  <si>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</si>
  <si>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</si>
  <si>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</si>
  <si>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</si>
  <si>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</si>
  <si>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</si>
  <si>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</si>
  <si>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</si>
  <si>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</si>
  <si>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</si>
  <si>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</si>
  <si>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</si>
  <si>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</si>
  <si>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</si>
  <si>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</si>
  <si>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</si>
  <si>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</si>
  <si>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</si>
  <si>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</si>
  <si>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</si>
  <si>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</si>
  <si>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</si>
  <si>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</si>
  <si>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</si>
  <si>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</si>
  <si>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</si>
  <si>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</si>
  <si>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</si>
  <si>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</si>
  <si>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</si>
  <si>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</si>
  <si>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</si>
  <si>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</si>
  <si>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</si>
  <si>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</si>
  <si>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</si>
  <si>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</si>
  <si>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</si>
  <si>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</si>
  <si>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</si>
  <si>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</si>
  <si>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</si>
  <si>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</si>
  <si>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</si>
  <si>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</si>
  <si>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</si>
  <si>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</si>
  <si>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</si>
  <si>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</si>
  <si>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</si>
  <si>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</si>
  <si>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</si>
  <si>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</si>
  <si>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</si>
  <si>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</si>
  <si>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</si>
  <si>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</si>
  <si>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</si>
  <si>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</si>
  <si>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</si>
  <si>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</si>
  <si>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</si>
  <si>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</si>
  <si>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</si>
  <si>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</si>
  <si>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</si>
  <si>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</si>
  <si>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</si>
  <si>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</si>
  <si>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</si>
  <si>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</si>
  <si>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</si>
  <si>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</si>
  <si>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</si>
  <si>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</si>
  <si>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</si>
  <si>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</si>
  <si>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</si>
  <si>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</si>
  <si>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</si>
  <si>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</si>
  <si>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</si>
  <si>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</si>
  <si>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</si>
  <si>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</si>
  <si>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</si>
  <si>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</si>
  <si>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</si>
  <si>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</si>
  <si>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</si>
  <si>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</si>
  <si>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</si>
  <si>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</si>
  <si>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</si>
  <si>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</si>
  <si>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</si>
  <si>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</si>
  <si>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</si>
  <si>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</si>
  <si>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</si>
  <si>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</si>
  <si>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</si>
  <si>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</si>
  <si>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</si>
  <si>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</si>
  <si>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</si>
  <si>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</si>
  <si>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</si>
  <si>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</si>
  <si>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</si>
  <si>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</si>
  <si>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</si>
  <si>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</si>
  <si>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</si>
  <si>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</si>
  <si>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</si>
  <si>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</si>
  <si>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</si>
  <si>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</si>
  <si>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</si>
  <si>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</si>
  <si>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</si>
  <si>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</si>
  <si>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</si>
  <si>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</si>
  <si>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</si>
  <si>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</si>
  <si>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</si>
  <si>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</si>
  <si>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</si>
  <si>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</si>
  <si>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</si>
  <si>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</si>
  <si>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</si>
  <si>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</si>
  <si>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</si>
  <si>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</si>
  <si>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</si>
  <si>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</si>
  <si>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</si>
  <si>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</si>
  <si>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</si>
  <si>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</si>
  <si>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</si>
  <si>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</si>
  <si>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</si>
  <si>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</si>
  <si>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</si>
  <si>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</si>
  <si>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</si>
  <si>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</si>
  <si>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</si>
  <si>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</si>
  <si>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</si>
  <si>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</si>
  <si>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</si>
  <si>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</si>
  <si>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</si>
  <si>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</si>
  <si>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</si>
  <si>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</si>
  <si>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</si>
  <si>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</si>
  <si>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</si>
  <si>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</si>
  <si>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</si>
  <si>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</si>
  <si>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</si>
  <si>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</si>
  <si>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</si>
  <si>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</si>
  <si>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</si>
  <si>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</si>
  <si>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</si>
  <si>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</si>
  <si>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</si>
  <si>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</si>
  <si>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</si>
  <si>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</si>
  <si>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</si>
  <si>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</si>
  <si>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</si>
  <si>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</si>
  <si>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</si>
  <si>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</si>
  <si>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</si>
  <si>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</si>
  <si>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</si>
  <si>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</si>
  <si>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</si>
  <si>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</si>
  <si>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</si>
  <si>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</si>
  <si>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</si>
  <si>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</si>
  <si>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</si>
  <si>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</si>
  <si>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</si>
  <si>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</si>
  <si>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</si>
  <si>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</si>
  <si>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</si>
  <si>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</si>
  <si>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</si>
  <si>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</si>
  <si>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</si>
  <si>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</si>
  <si>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</si>
  <si>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</si>
  <si>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</si>
  <si>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</si>
  <si>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</si>
  <si>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</si>
  <si>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</si>
  <si>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</si>
  <si>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</si>
  <si>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</si>
  <si>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</si>
  <si>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</si>
  <si>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</si>
  <si>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</si>
  <si>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</si>
  <si>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</si>
  <si>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</si>
  <si>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</si>
  <si>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</si>
  <si>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</si>
  <si>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</si>
  <si>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</si>
  <si>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</si>
  <si>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</si>
  <si>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</si>
  <si>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</si>
  <si>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</si>
  <si>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</si>
  <si>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</si>
  <si>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</si>
  <si>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</si>
  <si>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</si>
  <si>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</si>
  <si>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</si>
  <si>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</si>
  <si>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</si>
  <si>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</si>
  <si>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</si>
  <si>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</si>
  <si>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</si>
  <si>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</si>
  <si>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</si>
  <si>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</si>
  <si>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</si>
  <si>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</si>
  <si>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</si>
  <si>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</si>
  <si>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</si>
  <si>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</si>
  <si>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</si>
  <si>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</si>
  <si>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</si>
  <si>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</si>
  <si>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</si>
  <si>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</si>
  <si>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</si>
  <si>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</si>
  <si>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</si>
  <si>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</si>
  <si>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</si>
  <si>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</si>
  <si>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</si>
  <si>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</si>
  <si>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</si>
  <si>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</si>
  <si>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</si>
  <si>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</si>
  <si>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</si>
  <si>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</si>
  <si>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</si>
  <si>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</si>
  <si>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</si>
  <si>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</si>
  <si>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</si>
  <si>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</si>
  <si>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</si>
  <si>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</si>
  <si>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</si>
  <si>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</si>
  <si>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</si>
  <si>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</si>
  <si>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</si>
  <si>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</si>
  <si>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</si>
  <si>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</si>
  <si>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</si>
  <si>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</si>
  <si>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</si>
  <si>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</si>
  <si>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</si>
  <si>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</si>
  <si>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</si>
  <si>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</si>
  <si>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</si>
  <si>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</si>
  <si>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</si>
  <si>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</si>
  <si>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</si>
  <si>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</si>
  <si>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</si>
  <si>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</si>
  <si>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</si>
  <si>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</si>
  <si>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</si>
  <si>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</si>
  <si>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</si>
  <si>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</si>
  <si>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</si>
  <si>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</si>
  <si>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</si>
  <si>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</si>
  <si>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</si>
  <si>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</si>
  <si>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</si>
  <si>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</si>
  <si>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</si>
  <si>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</si>
  <si>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</si>
  <si>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</si>
  <si>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</si>
  <si>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</si>
  <si>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</si>
  <si>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</si>
  <si>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</si>
  <si>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</si>
  <si>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</si>
  <si>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</si>
  <si>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</si>
  <si>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</si>
  <si>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</si>
  <si>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</si>
  <si>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</si>
  <si>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</si>
  <si>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</si>
  <si>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</si>
  <si>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</si>
  <si>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</si>
  <si>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</si>
  <si>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</si>
  <si>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</si>
  <si>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</si>
  <si>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</si>
  <si>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</si>
  <si>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</si>
  <si>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</si>
  <si>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</si>
  <si>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</si>
  <si>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</si>
  <si>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</si>
  <si>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</si>
  <si>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</si>
  <si>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</si>
  <si>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</si>
  <si>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</si>
  <si>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</si>
  <si>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</si>
  <si>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</si>
  <si>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</si>
  <si>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</si>
  <si>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</si>
  <si>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</si>
  <si>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</si>
  <si>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</si>
  <si>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</si>
  <si>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</si>
  <si>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</si>
  <si>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</si>
  <si>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</si>
  <si>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</si>
  <si>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</si>
  <si>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</si>
  <si>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</si>
  <si>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</si>
  <si>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</si>
  <si>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</si>
  <si>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</si>
  <si>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</si>
  <si>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</si>
  <si>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</si>
  <si>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</si>
  <si>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</si>
  <si>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</si>
  <si>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</si>
  <si>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</si>
  <si>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</si>
  <si>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</si>
  <si>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</si>
  <si>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</si>
  <si>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</si>
  <si>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</si>
  <si>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</si>
  <si>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</si>
  <si>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</si>
  <si>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</si>
  <si>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</si>
  <si>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</si>
  <si>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</si>
  <si>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</si>
  <si>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</si>
  <si>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</si>
  <si>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</si>
  <si>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</si>
  <si>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</si>
  <si>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</si>
  <si>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</si>
  <si>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</si>
  <si>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</si>
  <si>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</si>
  <si>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</si>
  <si>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</si>
  <si>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</si>
  <si>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</si>
  <si>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</si>
  <si>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</si>
  <si>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</si>
  <si>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</si>
  <si>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</si>
  <si>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</si>
  <si>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</si>
  <si>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</si>
  <si>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</si>
  <si>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</si>
  <si>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</si>
  <si>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</si>
  <si>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</si>
  <si>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</si>
  <si>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</si>
  <si>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</si>
  <si>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</si>
  <si>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</si>
  <si>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</si>
  <si>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</si>
  <si>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</si>
  <si>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</si>
  <si>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</si>
  <si>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</si>
  <si>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</si>
  <si>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</si>
  <si>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</si>
  <si>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</si>
  <si>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</si>
  <si>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</si>
  <si>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</si>
  <si>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</si>
  <si>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</si>
  <si>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</si>
  <si>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</si>
  <si>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</si>
  <si>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</si>
  <si>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</si>
  <si>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</si>
  <si>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</si>
  <si>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</si>
  <si>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</si>
  <si>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</si>
  <si>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</si>
  <si>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</si>
  <si>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</si>
  <si>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</si>
  <si>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</si>
  <si>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</si>
  <si>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</si>
  <si>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</si>
  <si>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</si>
  <si>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</si>
  <si>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</si>
  <si>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</si>
  <si>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</si>
  <si>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</si>
  <si>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</si>
  <si>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</si>
  <si>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</si>
  <si>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</si>
  <si>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</si>
  <si>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</si>
  <si>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</si>
  <si>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</si>
  <si>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</si>
  <si>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</si>
  <si>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</si>
  <si>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</si>
  <si>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</si>
  <si>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</si>
  <si>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</si>
  <si>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</si>
  <si>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</si>
  <si>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</si>
  <si>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</si>
  <si>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</si>
  <si>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</si>
  <si>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</si>
  <si>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</si>
  <si>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</si>
  <si>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</si>
  <si>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</si>
  <si>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</si>
  <si>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</si>
  <si>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</si>
  <si>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</si>
  <si>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</si>
  <si>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</si>
  <si>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</si>
  <si>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</si>
  <si>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</si>
  <si>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</si>
  <si>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</si>
  <si>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</si>
  <si>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</si>
  <si>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</si>
  <si>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</si>
  <si>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</si>
  <si>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</si>
  <si>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</si>
  <si>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</si>
  <si>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</si>
  <si>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</si>
  <si>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</si>
  <si>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</si>
  <si>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</si>
  <si>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</si>
  <si>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</si>
  <si>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</si>
  <si>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</si>
  <si>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</si>
  <si>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</si>
  <si>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</si>
  <si>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</si>
  <si>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</si>
  <si>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</si>
  <si>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</si>
  <si>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</si>
  <si>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</si>
  <si>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</si>
  <si>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</si>
  <si>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</si>
  <si>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</si>
  <si>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</si>
  <si>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</si>
  <si>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</si>
  <si>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</si>
  <si>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</si>
  <si>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</si>
  <si>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</si>
  <si>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</si>
  <si>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</si>
  <si>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</si>
  <si>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</si>
  <si>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</si>
  <si>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</si>
  <si>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</si>
  <si>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</si>
  <si>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</si>
  <si>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</si>
  <si>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</si>
  <si>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</si>
  <si>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</si>
  <si>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</si>
  <si>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</si>
  <si>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</si>
  <si>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</si>
  <si>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</si>
  <si>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</si>
  <si>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</si>
  <si>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</si>
  <si>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</si>
  <si>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</si>
  <si>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</si>
  <si>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</si>
  <si>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</si>
  <si>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</si>
  <si>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</si>
  <si>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</si>
  <si>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</si>
  <si>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</si>
  <si>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</si>
  <si>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</si>
  <si>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</si>
  <si>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</si>
  <si>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</si>
  <si>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</si>
  <si>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</si>
  <si>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</si>
  <si>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</si>
  <si>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</si>
  <si>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</si>
  <si>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</si>
  <si>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</si>
  <si>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</si>
  <si>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</si>
  <si>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</si>
  <si>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</si>
  <si>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</si>
  <si>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</si>
  <si>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</si>
  <si>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</si>
  <si>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</si>
  <si>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</si>
  <si>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</si>
  <si>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</si>
  <si>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</si>
  <si>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</si>
  <si>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</si>
  <si>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</si>
  <si>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</si>
  <si>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</si>
  <si>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</si>
  <si>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</si>
  <si>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</si>
  <si>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</si>
  <si>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</si>
  <si>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</si>
  <si>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</si>
  <si>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</si>
  <si>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</si>
  <si>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</si>
  <si>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</si>
  <si>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</si>
  <si>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</si>
  <si>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</si>
  <si>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</si>
  <si>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</si>
  <si>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</si>
  <si>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</si>
  <si>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</si>
  <si>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</si>
  <si>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</si>
  <si>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</si>
  <si>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</si>
  <si>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</si>
  <si>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</si>
  <si>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</si>
  <si>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</si>
  <si>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</si>
  <si>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</si>
  <si>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</si>
  <si>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</si>
  <si>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</si>
  <si>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</si>
  <si>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</si>
  <si>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</si>
  <si>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</si>
  <si>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</si>
  <si>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</si>
  <si>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</si>
  <si>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</si>
  <si>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</si>
  <si>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</si>
  <si>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</si>
  <si>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</si>
  <si>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</si>
  <si>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</si>
  <si>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</si>
  <si>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</si>
  <si>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</si>
  <si>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</si>
  <si>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</si>
  <si>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</si>
  <si>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</si>
  <si>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</si>
  <si>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</si>
  <si>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</si>
  <si>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</si>
  <si>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</si>
  <si>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</si>
  <si>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</si>
  <si>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</si>
  <si>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</si>
  <si>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</si>
  <si>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</si>
  <si>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</si>
  <si>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</si>
  <si>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</si>
  <si>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</si>
  <si>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</si>
  <si>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</si>
  <si>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</si>
  <si>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</si>
  <si>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</si>
  <si>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</si>
  <si>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</si>
  <si>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</si>
  <si>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</si>
  <si>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</si>
  <si>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</si>
  <si>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</si>
  <si>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</si>
  <si>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</si>
  <si>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</si>
  <si>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</si>
  <si>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</si>
  <si>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</si>
  <si>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</si>
  <si>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</si>
  <si>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</si>
  <si>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</si>
  <si>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</si>
  <si>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</si>
  <si>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</si>
  <si>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</si>
  <si>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</si>
  <si>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</si>
  <si>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</si>
  <si>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</si>
  <si>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</si>
  <si>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</si>
  <si>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</si>
  <si>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</si>
  <si>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</si>
  <si>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</si>
  <si>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</si>
  <si>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</si>
  <si>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</si>
  <si>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</si>
  <si>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</si>
  <si>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</si>
  <si>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</si>
  <si>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</si>
  <si>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</si>
  <si>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</si>
  <si>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</si>
  <si>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</si>
  <si>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</si>
  <si>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</si>
  <si>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</si>
  <si>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</si>
  <si>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</si>
  <si>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</si>
  <si>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</si>
  <si>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</si>
  <si>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</si>
  <si>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</si>
  <si>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</si>
  <si>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</si>
  <si>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</si>
  <si>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</si>
  <si>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</si>
  <si>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</si>
  <si>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</si>
  <si>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</si>
  <si>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</si>
  <si>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</si>
  <si>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</si>
  <si>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</si>
  <si>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</si>
  <si>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</si>
  <si>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</si>
  <si>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</si>
  <si>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</si>
  <si>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</si>
  <si>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</si>
  <si>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</si>
  <si>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</si>
  <si>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</si>
  <si>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</si>
  <si>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</si>
  <si>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</si>
  <si>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</si>
  <si>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</si>
  <si>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</si>
  <si>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</si>
  <si>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</si>
  <si>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</si>
  <si>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</si>
  <si>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</si>
  <si>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</si>
  <si>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</si>
  <si>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</si>
  <si>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</si>
  <si>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</si>
  <si>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</si>
  <si>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</si>
  <si>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</si>
  <si>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</si>
  <si>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</si>
  <si>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</si>
  <si>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</si>
  <si>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</si>
  <si>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</si>
  <si>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</si>
  <si>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</si>
  <si>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</si>
  <si>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</si>
  <si>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</si>
  <si>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</si>
  <si>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</si>
  <si>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</si>
  <si>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</si>
  <si>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</si>
  <si>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</si>
  <si>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</si>
  <si>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</si>
  <si>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</si>
  <si>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</si>
  <si>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</si>
  <si>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</si>
  <si>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</si>
  <si>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</si>
  <si>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</si>
  <si>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</si>
  <si>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</si>
  <si>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</si>
  <si>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</si>
  <si>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</si>
  <si>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</si>
  <si>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</si>
  <si>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</si>
  <si>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</si>
  <si>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</si>
  <si>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</si>
  <si>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</si>
  <si>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</si>
  <si>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</si>
  <si>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</si>
  <si>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</si>
  <si>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</si>
  <si>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</si>
  <si>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</si>
  <si>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</si>
  <si>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</si>
  <si>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</si>
  <si>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</si>
  <si>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</si>
  <si>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</si>
  <si>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</si>
  <si>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</si>
  <si>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</si>
  <si>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</si>
  <si>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</si>
  <si>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</si>
  <si>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</si>
  <si>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</si>
  <si>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</si>
  <si>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</si>
  <si>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</si>
  <si>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</si>
  <si>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</si>
  <si>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</si>
  <si>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</si>
  <si>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</si>
  <si>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</si>
  <si>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</si>
  <si>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</si>
  <si>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</si>
  <si>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</si>
  <si>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</si>
  <si>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</si>
  <si>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</si>
  <si>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</si>
  <si>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</si>
  <si>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</si>
  <si>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</si>
  <si>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</si>
  <si>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</si>
  <si>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</si>
  <si>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</si>
  <si>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</si>
  <si>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</si>
  <si>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</si>
  <si>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</si>
  <si>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</si>
  <si>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</si>
  <si>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</si>
  <si>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</si>
  <si>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</si>
  <si>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</si>
  <si>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</si>
  <si>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</si>
  <si>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</si>
  <si>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</si>
  <si>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</si>
  <si>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</si>
  <si>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</si>
  <si>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</si>
  <si>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</si>
  <si>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</si>
  <si>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</si>
  <si>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</si>
  <si>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</si>
  <si>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</si>
  <si>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</si>
  <si>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</si>
  <si>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</si>
  <si>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</si>
  <si>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</si>
  <si>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</si>
  <si>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</si>
  <si>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</si>
  <si>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</si>
  <si>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</si>
  <si>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</si>
  <si>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</si>
  <si>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</si>
  <si>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</si>
  <si>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</si>
  <si>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</si>
  <si>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</si>
  <si>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</si>
  <si>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</si>
  <si>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</si>
  <si>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</si>
  <si>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</si>
  <si>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</si>
  <si>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</si>
  <si>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</si>
  <si>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</si>
  <si>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</si>
  <si>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</si>
  <si>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</si>
  <si>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</si>
  <si>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</si>
  <si>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</si>
  <si>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</si>
  <si>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</si>
  <si>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</si>
  <si>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</si>
  <si>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</si>
  <si>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</si>
  <si>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</si>
  <si>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</si>
  <si>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</si>
  <si>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</si>
  <si>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</si>
  <si>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</si>
  <si>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</si>
  <si>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</si>
  <si>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</si>
  <si>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</si>
  <si>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</si>
  <si>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</si>
  <si>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</si>
  <si>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</si>
  <si>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</si>
  <si>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</si>
  <si>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</si>
  <si>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</si>
  <si>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</si>
  <si>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</si>
  <si>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</si>
  <si>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</si>
  <si>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</si>
  <si>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</si>
  <si>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</si>
  <si>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</si>
  <si>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</si>
  <si>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</si>
  <si>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</si>
  <si>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</si>
  <si>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</si>
  <si>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</si>
  <si>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</si>
  <si>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</si>
  <si>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</si>
  <si>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</si>
  <si>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</si>
  <si>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</si>
  <si>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</si>
  <si>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</si>
  <si>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</si>
  <si>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</si>
  <si>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</si>
  <si>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</si>
  <si>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</si>
  <si>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</si>
  <si>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</si>
  <si>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</si>
  <si>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</si>
  <si>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</si>
  <si>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</si>
  <si>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</si>
  <si>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</si>
  <si>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</si>
  <si>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</si>
  <si>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</si>
  <si>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</si>
  <si>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</si>
  <si>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</si>
  <si>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</si>
  <si>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</si>
  <si>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</si>
  <si>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</si>
  <si>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</si>
  <si>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</si>
  <si>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</si>
  <si>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</si>
  <si>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</si>
  <si>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</si>
  <si>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</si>
  <si>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</si>
  <si>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</si>
  <si>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</si>
  <si>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</si>
  <si>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</si>
  <si>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</si>
  <si>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</si>
  <si>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</si>
  <si>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</si>
  <si>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</si>
  <si>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</si>
  <si>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</si>
  <si>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</si>
  <si>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</si>
  <si>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</si>
  <si>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</si>
  <si>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</si>
  <si>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</si>
  <si>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</si>
  <si>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</si>
  <si>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</si>
  <si>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</si>
  <si>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</si>
  <si>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</si>
  <si>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</si>
  <si>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</si>
  <si>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</si>
  <si>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</si>
  <si>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</si>
  <si>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</si>
  <si>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</si>
  <si>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</si>
  <si>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</si>
  <si>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</si>
  <si>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</si>
  <si>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</si>
  <si>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</si>
  <si>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</si>
  <si>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</si>
  <si>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</si>
  <si>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</si>
  <si>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</si>
  <si>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</si>
  <si>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</si>
  <si>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</si>
  <si>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</si>
  <si>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</si>
  <si>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</si>
  <si>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</si>
  <si>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</si>
  <si>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</si>
  <si>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</si>
  <si>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</si>
  <si>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</si>
  <si>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</si>
  <si>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</si>
  <si>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</si>
  <si>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</si>
  <si>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</si>
  <si>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</si>
  <si>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</si>
  <si>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</si>
  <si>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</si>
  <si>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</si>
  <si>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</si>
  <si>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</si>
  <si>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</si>
  <si>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</si>
  <si>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</si>
  <si>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</si>
  <si>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</si>
  <si>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</si>
  <si>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</si>
  <si>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</si>
  <si>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</si>
  <si>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</si>
  <si>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</si>
  <si>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</si>
  <si>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</si>
  <si>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</si>
  <si>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</si>
  <si>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</si>
  <si>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</si>
  <si>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</si>
  <si>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</si>
  <si>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</si>
  <si>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</si>
  <si>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</si>
  <si>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</si>
  <si>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</si>
  <si>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</si>
  <si>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</si>
  <si>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</si>
  <si>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</si>
  <si>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</si>
  <si>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</si>
  <si>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</si>
  <si>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</si>
  <si>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</si>
  <si>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</si>
  <si>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</si>
  <si>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</si>
  <si>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</si>
  <si>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</si>
  <si>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</si>
  <si>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</si>
  <si>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</si>
  <si>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</si>
  <si>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</si>
  <si>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</si>
  <si>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</si>
  <si>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</si>
  <si>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</si>
  <si>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</si>
  <si>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</si>
  <si>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</si>
  <si>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</si>
  <si>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</si>
  <si>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</si>
  <si>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</si>
  <si>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</si>
  <si>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</si>
  <si>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</si>
  <si>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</si>
  <si>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</si>
  <si>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</si>
  <si>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</si>
  <si>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</si>
  <si>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</si>
  <si>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</si>
  <si>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</si>
  <si>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</si>
  <si>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</si>
  <si>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</si>
  <si>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</si>
  <si>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</si>
  <si>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</si>
  <si>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</si>
  <si>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</si>
  <si>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</si>
  <si>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</si>
  <si>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</si>
  <si>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</si>
  <si>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</si>
  <si>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</si>
  <si>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</si>
  <si>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</si>
  <si>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</si>
  <si>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</si>
  <si>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</si>
  <si>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</si>
  <si>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</si>
  <si>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</si>
  <si>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</si>
  <si>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</si>
  <si>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</si>
  <si>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</si>
  <si>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</si>
  <si>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</si>
  <si>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</si>
  <si>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</si>
  <si>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</si>
  <si>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</si>
  <si>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</si>
  <si>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</si>
  <si>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</si>
  <si>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</si>
  <si>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</si>
  <si>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</si>
  <si>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</si>
  <si>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</si>
  <si>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</si>
  <si>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</si>
  <si>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</si>
  <si>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</si>
  <si>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</si>
  <si>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</si>
  <si>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</si>
  <si>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</si>
  <si>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</si>
  <si>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</si>
  <si>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</si>
  <si>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</si>
  <si>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</si>
  <si>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</si>
  <si>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</si>
  <si>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</si>
  <si>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</si>
  <si>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</si>
  <si>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</si>
  <si>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</si>
  <si>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</si>
  <si>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</si>
  <si>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</si>
  <si>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</si>
  <si>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</si>
  <si>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</si>
  <si>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</si>
  <si>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</si>
  <si>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</si>
  <si>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</si>
  <si>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</si>
  <si>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</si>
  <si>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</si>
  <si>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</si>
  <si>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</si>
  <si>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</si>
  <si>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</si>
  <si>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</si>
  <si>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</si>
  <si>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</si>
  <si>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</si>
  <si>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</si>
  <si>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</si>
  <si>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</si>
  <si>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</si>
  <si>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</si>
  <si>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</si>
  <si>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</si>
  <si>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</si>
  <si>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</si>
  <si>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</si>
  <si>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</si>
  <si>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</si>
  <si>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</si>
  <si>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</si>
  <si>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</si>
  <si>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</si>
  <si>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</si>
  <si>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</si>
  <si>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</si>
  <si>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</si>
  <si>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</si>
  <si>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</si>
  <si>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</si>
  <si>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</si>
  <si>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</si>
  <si>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</si>
  <si>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</si>
  <si>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</si>
  <si>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</si>
  <si>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</si>
  <si>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</si>
  <si>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</si>
  <si>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</si>
  <si>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</si>
  <si>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</si>
  <si>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</si>
  <si>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</si>
  <si>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</si>
  <si>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</si>
  <si>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</si>
  <si>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</si>
  <si>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</si>
  <si>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</si>
  <si>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</si>
  <si>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</si>
  <si>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</si>
  <si>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</si>
  <si>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</si>
  <si>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</si>
  <si>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</si>
  <si>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</si>
  <si>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</si>
  <si>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</si>
  <si>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</si>
  <si>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</si>
  <si>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</si>
  <si>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</si>
  <si>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</si>
  <si>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</si>
  <si>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</si>
  <si>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</si>
  <si>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</si>
  <si>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</si>
  <si>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</si>
  <si>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</si>
  <si>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</si>
  <si>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</si>
  <si>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</si>
  <si>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</si>
  <si>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</si>
  <si>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</si>
  <si>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</si>
  <si>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</si>
  <si>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</si>
  <si>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</si>
  <si>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</si>
  <si>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</si>
  <si>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</si>
  <si>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</si>
  <si>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</si>
  <si>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</si>
  <si>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</si>
  <si>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</si>
  <si>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</si>
  <si>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</si>
  <si>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</si>
  <si>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</si>
  <si>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</si>
  <si>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</si>
  <si>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</si>
  <si>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</si>
  <si>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</si>
  <si>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</si>
  <si>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</si>
  <si>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</si>
  <si>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</si>
  <si>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</si>
  <si>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</si>
  <si>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</si>
  <si>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</si>
  <si>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</si>
  <si>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</si>
  <si>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</si>
  <si>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</si>
  <si>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</si>
  <si>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</si>
  <si>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</si>
  <si>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</si>
  <si>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</si>
  <si>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</si>
  <si>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</si>
  <si>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</si>
  <si>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</si>
  <si>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</si>
  <si>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</si>
  <si>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</si>
  <si>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</si>
  <si>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</si>
  <si>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</si>
  <si>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</si>
  <si>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</si>
  <si>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</si>
  <si>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</si>
  <si>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</si>
  <si>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</si>
  <si>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</si>
  <si>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</si>
  <si>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</si>
  <si>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</si>
  <si>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</si>
  <si>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</si>
  <si>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</si>
  <si>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</si>
  <si>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</si>
  <si>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</si>
  <si>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</si>
  <si>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</si>
  <si>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</si>
  <si>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</si>
  <si>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</si>
  <si>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</si>
  <si>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</si>
  <si>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</si>
  <si>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</si>
  <si>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</si>
  <si>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</si>
  <si>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</si>
  <si>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</si>
  <si>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</si>
  <si>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</si>
  <si>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</si>
  <si>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</si>
  <si>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</si>
  <si>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</si>
  <si>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</si>
  <si>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</si>
  <si>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</si>
  <si>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</si>
  <si>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</si>
  <si>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</si>
  <si>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</si>
  <si>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</si>
  <si>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</si>
  <si>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</si>
  <si>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</si>
  <si>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</si>
  <si>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</si>
  <si>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</si>
  <si>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</si>
  <si>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</si>
  <si>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</si>
  <si>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</si>
  <si>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</si>
  <si>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</si>
  <si>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</si>
  <si>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</si>
  <si>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</si>
  <si>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</si>
  <si>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</si>
  <si>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</si>
  <si>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</si>
  <si>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</si>
  <si>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</si>
  <si>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</si>
  <si>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</si>
  <si>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</si>
  <si>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</si>
  <si>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</si>
  <si>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</si>
  <si>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</si>
  <si>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</si>
  <si>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</si>
  <si>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</si>
  <si>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</si>
  <si>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</si>
  <si>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</si>
  <si>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</si>
  <si>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</si>
  <si>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</si>
  <si>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</si>
  <si>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</si>
  <si>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</si>
  <si>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</si>
  <si>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</si>
  <si>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</si>
  <si>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</si>
  <si>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</si>
  <si>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</si>
  <si>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</si>
  <si>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</si>
  <si>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</si>
  <si>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</si>
  <si>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</si>
  <si>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</si>
  <si>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</si>
  <si>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</si>
  <si>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</si>
  <si>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</si>
  <si>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</si>
  <si>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</si>
  <si>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</si>
  <si>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</si>
  <si>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</si>
  <si>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</si>
  <si>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</si>
  <si>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</si>
  <si>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</si>
  <si>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</si>
  <si>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</si>
  <si>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</si>
  <si>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</si>
  <si>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</si>
  <si>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</si>
  <si>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</si>
  <si>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</si>
  <si>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</si>
  <si>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</si>
  <si>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</si>
  <si>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</si>
  <si>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</si>
  <si>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</si>
  <si>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</si>
  <si>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</si>
  <si>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</si>
  <si>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</si>
  <si>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</si>
  <si>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</si>
  <si>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</si>
  <si>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</si>
  <si>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</si>
  <si>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</si>
  <si>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</si>
  <si>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</si>
  <si>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</si>
  <si>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</si>
  <si>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</si>
  <si>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</si>
  <si>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</si>
  <si>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</si>
  <si>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(Organisme)</t>
  </si>
  <si>
    <t xml:space="preserve">(Opérateurs)</t>
  </si>
  <si>
    <t xml:space="preserve">(Cours d'eau)</t>
  </si>
  <si>
    <t xml:space="preserve">(Nom de la station)</t>
  </si>
  <si>
    <t xml:space="preserve">(Code station)</t>
  </si>
  <si>
    <t xml:space="preserve">(dossier, type réseau)</t>
  </si>
  <si>
    <t xml:space="preserve">(Date)</t>
  </si>
  <si>
    <t xml:space="preserve">Résultats</t>
  </si>
  <si>
    <t xml:space="preserve">Unité(s) de relevé</t>
  </si>
  <si>
    <t xml:space="preserve">UR1</t>
  </si>
  <si>
    <t xml:space="preserve">UR2</t>
  </si>
  <si>
    <t xml:space="preserve">Faciès dominant</t>
  </si>
  <si>
    <t xml:space="preserve">niveau trophique</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</si>
  <si>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</si>
  <si>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</si>
  <si>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</si>
  <si>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</si>
  <si>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</si>
  <si>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</si>
  <si>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</si>
  <si>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</si>
  <si>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</si>
  <si>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</si>
  <si>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</si>
  <si>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</si>
  <si>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</si>
  <si>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</si>
  <si>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</si>
  <si>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</si>
  <si>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</si>
  <si>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</si>
  <si>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</si>
  <si>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</si>
  <si>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</si>
  <si>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</si>
  <si>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</si>
  <si>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</si>
  <si>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</si>
  <si>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</si>
  <si>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</si>
  <si>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</si>
  <si>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</si>
  <si>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</si>
  <si>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</si>
  <si>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</si>
  <si>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</si>
  <si>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</si>
  <si>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</si>
  <si>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</si>
  <si>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</si>
  <si>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</si>
  <si>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</si>
  <si>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</si>
  <si>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</si>
  <si>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</si>
  <si>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</si>
  <si>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</si>
  <si>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</si>
  <si>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</si>
  <si>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</si>
  <si>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</si>
  <si>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</si>
  <si>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</si>
  <si>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</si>
  <si>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</si>
  <si>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</si>
  <si>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</si>
  <si>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</si>
  <si>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</si>
  <si>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</si>
  <si>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</si>
  <si>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</si>
  <si>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</si>
  <si>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Robustesse:</t>
  </si>
  <si>
    <t xml:space="preserve">code taxon à supp.</t>
  </si>
  <si>
    <t xml:space="preserve">index ligne corresp.</t>
  </si>
  <si>
    <t xml:space="preserve">taxon supp.</t>
  </si>
  <si>
    <t xml:space="preserve">DREAL PACA</t>
  </si>
  <si>
    <t xml:space="preserve">Christine DUPART Samuel PAUVERT</t>
  </si>
  <si>
    <t xml:space="preserve">Bléone</t>
  </si>
  <si>
    <t xml:space="preserve">Mallemoisson</t>
  </si>
  <si>
    <t xml:space="preserve">06158000</t>
  </si>
  <si>
    <t xml:space="preserve">RCS</t>
  </si>
  <si>
    <t xml:space="preserve">ch. lotique</t>
  </si>
  <si>
    <t xml:space="preserve">pl. lent</t>
  </si>
  <si>
    <t xml:space="preserve">élevé</t>
  </si>
  <si>
    <t xml:space="preserve">peu abondant</t>
  </si>
  <si>
    <t xml:space="preserve">Référence des noms taxons</t>
  </si>
  <si>
    <t xml:space="preserve">Bléone à Mallemoisson</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</si>
  <si>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</si>
  <si>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</si>
  <si>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</si>
  <si>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</si>
  <si>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</si>
  <si>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</si>
  <si>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</si>
  <si>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</si>
  <si>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</si>
  <si>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pl. courant</t>
  </si>
  <si>
    <t xml:space="preserve">radier</t>
  </si>
  <si>
    <t xml:space="preserve">rapide</t>
  </si>
  <si>
    <t xml:space="preserve">cascade</t>
  </si>
  <si>
    <t xml:space="preserve">ch. lentique</t>
  </si>
  <si>
    <t xml:space="preserve">mouille</t>
  </si>
  <si>
    <t xml:space="preserve">f. de dissipation</t>
  </si>
  <si>
    <t xml:space="preserve">autre</t>
  </si>
  <si>
    <t xml:space="preserve">Confer</t>
  </si>
  <si>
    <t xml:space="preserve">Cf.</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</si>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</sst>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3384</v>
      </c>
      <c r="B5" s="315" t="s">
        <v>3385</v>
      </c>
      <c r="C5" s="316" t="s">
        <v>3386</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3387</v>
      </c>
      <c r="B6" s="328"/>
      <c r="C6" s="329"/>
      <c r="D6" s="330"/>
      <c r="E6" s="330"/>
      <c r="F6" s="331"/>
      <c r="G6" s="319"/>
      <c r="H6" s="317"/>
      <c r="I6" s="281"/>
      <c r="J6" s="332"/>
      <c r="K6" s="333"/>
      <c r="L6" s="334" t="s">
        <v>3388</v>
      </c>
      <c r="M6" s="335"/>
      <c r="N6" s="336"/>
      <c r="O6" s="337"/>
      <c r="P6" s="338"/>
      <c r="Q6" s="339"/>
      <c r="R6" s="281"/>
      <c r="S6" s="281"/>
      <c r="T6" s="281"/>
      <c r="U6" s="281"/>
      <c r="V6" s="281"/>
      <c r="W6" s="295"/>
      <c r="X6" s="0"/>
      <c r="Y6" s="0"/>
      <c r="Z6" s="0"/>
    </row>
    <row r="7" customFormat="false" ht="12.75" hidden="false" customHeight="false" outlineLevel="0" collapsed="false">
      <c r="A7" s="340" t="s">
        <v>3389</v>
      </c>
      <c r="B7" s="341"/>
      <c r="C7" s="342"/>
      <c r="D7" s="330"/>
      <c r="E7" s="330"/>
      <c r="F7" s="343" t="n">
        <f aca="false">B7+C7</f>
        <v>0</v>
      </c>
      <c r="G7" s="344"/>
      <c r="H7" s="330"/>
      <c r="I7" s="281"/>
      <c r="J7" s="345"/>
      <c r="K7" s="346"/>
      <c r="L7" s="347"/>
      <c r="M7" s="348"/>
      <c r="N7" s="349"/>
      <c r="O7" s="350" t="s">
        <v>3390</v>
      </c>
      <c r="P7" s="351" t="s">
        <v>3391</v>
      </c>
      <c r="Q7" s="352"/>
      <c r="R7" s="281"/>
      <c r="S7" s="281"/>
      <c r="T7" s="281"/>
      <c r="U7" s="281"/>
      <c r="V7" s="281"/>
      <c r="W7" s="295"/>
      <c r="X7" s="0"/>
      <c r="Y7" s="0"/>
      <c r="Z7" s="0"/>
    </row>
    <row r="8" customFormat="false" ht="12.75" hidden="false" customHeight="false" outlineLevel="0" collapsed="false">
      <c r="A8" s="316" t="s">
        <v>3392</v>
      </c>
      <c r="B8" s="316"/>
      <c r="C8" s="316"/>
      <c r="D8" s="330"/>
      <c r="E8" s="330"/>
      <c r="F8" s="353" t="s">
        <v>3393</v>
      </c>
      <c r="G8" s="354"/>
      <c r="H8" s="330"/>
      <c r="I8" s="281"/>
      <c r="J8" s="345"/>
      <c r="K8" s="346"/>
      <c r="L8" s="347"/>
      <c r="M8" s="348"/>
      <c r="N8" s="355" t="s">
        <v>3394</v>
      </c>
      <c r="O8" s="356" t="str">
        <f aca="false">IF(ISERROR(AVERAGE(J23:J82))," ",AVERAGE(J23:J82))</f>
        <v> </v>
      </c>
      <c r="P8" s="356" t="str">
        <f aca="false">IF(ISERROR(AVERAGE(K23:K82)),"  ",AVERAGE(K23:K82))</f>
        <v>  </v>
      </c>
      <c r="Q8" s="357"/>
      <c r="R8" s="281"/>
      <c r="S8" s="281"/>
      <c r="T8" s="281"/>
      <c r="U8" s="281"/>
      <c r="V8" s="281"/>
      <c r="W8" s="295"/>
      <c r="X8" s="0"/>
      <c r="Y8" s="0"/>
      <c r="Z8" s="0"/>
    </row>
    <row r="9" customFormat="false" ht="12.75" hidden="false" customHeight="false" outlineLevel="0" collapsed="false">
      <c r="A9" s="314" t="s">
        <v>3395</v>
      </c>
      <c r="B9" s="358"/>
      <c r="C9" s="359"/>
      <c r="D9" s="360"/>
      <c r="E9" s="360"/>
      <c r="F9" s="361" t="n">
        <f aca="false">($B9*$B$7+$C9*$C$7)/100</f>
        <v>0</v>
      </c>
      <c r="G9" s="362"/>
      <c r="H9" s="317"/>
      <c r="I9" s="281"/>
      <c r="J9" s="363"/>
      <c r="K9" s="364"/>
      <c r="L9" s="347"/>
      <c r="M9" s="365"/>
      <c r="N9" s="355" t="s">
        <v>3396</v>
      </c>
      <c r="O9" s="356" t="str">
        <f aca="false">IF(ISERROR(STDEVP(J23:J82))," ",STDEVP(J23:J82))</f>
        <v> </v>
      </c>
      <c r="P9" s="356" t="str">
        <f aca="false">IF(ISERROR(STDEVP(K23:K82)),"  ",STDEVP(K23:K82))</f>
        <v>  </v>
      </c>
      <c r="Q9" s="357"/>
      <c r="R9" s="281"/>
      <c r="S9" s="281"/>
      <c r="T9" s="281"/>
      <c r="U9" s="281"/>
      <c r="V9" s="281"/>
      <c r="W9" s="295"/>
      <c r="X9" s="0"/>
      <c r="Y9" s="0"/>
      <c r="Z9" s="0"/>
    </row>
    <row r="10" customFormat="false" ht="12.75" hidden="false" customHeight="false" outlineLevel="0" collapsed="false">
      <c r="A10" s="314" t="s">
        <v>3397</v>
      </c>
      <c r="B10" s="366"/>
      <c r="C10" s="367"/>
      <c r="D10" s="360"/>
      <c r="E10" s="360"/>
      <c r="F10" s="361"/>
      <c r="G10" s="362"/>
      <c r="H10" s="330"/>
      <c r="I10" s="281"/>
      <c r="J10" s="368"/>
      <c r="K10" s="369" t="s">
        <v>3398</v>
      </c>
      <c r="L10" s="370"/>
      <c r="M10" s="371"/>
      <c r="N10" s="355" t="s">
        <v>3399</v>
      </c>
      <c r="O10" s="372" t="n">
        <f aca="false">MIN(J23:J82)</f>
        <v>0</v>
      </c>
      <c r="P10" s="372" t="n">
        <f aca="false">MIN(K23:K82)</f>
        <v>0</v>
      </c>
      <c r="Q10" s="373"/>
      <c r="R10" s="281"/>
      <c r="S10" s="281"/>
      <c r="T10" s="281"/>
      <c r="U10" s="281"/>
      <c r="V10" s="281"/>
      <c r="W10" s="295"/>
      <c r="X10" s="0"/>
      <c r="Y10" s="0"/>
      <c r="Z10" s="0"/>
    </row>
    <row r="11" customFormat="false" ht="12.75" hidden="false" customHeight="false" outlineLevel="0" collapsed="false">
      <c r="A11" s="374" t="s">
        <v>3400</v>
      </c>
      <c r="B11" s="375"/>
      <c r="C11" s="376"/>
      <c r="D11" s="360"/>
      <c r="E11" s="360"/>
      <c r="F11" s="377" t="n">
        <f aca="false">($B11*$B$7+$C11*$C$7)/100</f>
        <v>0</v>
      </c>
      <c r="G11" s="378"/>
      <c r="H11" s="330"/>
      <c r="I11" s="281"/>
      <c r="J11" s="379" t="s">
        <v>3401</v>
      </c>
      <c r="K11" s="379"/>
      <c r="L11" s="380" t="n">
        <f aca="false">COUNTIF($G$23:$G$82,"=HET")</f>
        <v>0</v>
      </c>
      <c r="M11" s="381"/>
      <c r="N11" s="355" t="s">
        <v>3402</v>
      </c>
      <c r="O11" s="372" t="n">
        <f aca="false">MAX(J23:J82)</f>
        <v>0</v>
      </c>
      <c r="P11" s="372" t="n">
        <f aca="false">MAX(K23:K82)</f>
        <v>0</v>
      </c>
      <c r="Q11" s="373"/>
      <c r="R11" s="281"/>
      <c r="S11" s="281"/>
      <c r="T11" s="281"/>
      <c r="U11" s="281"/>
      <c r="V11" s="281"/>
      <c r="W11" s="295"/>
      <c r="X11" s="0"/>
      <c r="Y11" s="0"/>
      <c r="Z11" s="0"/>
    </row>
    <row r="12" customFormat="false" ht="12.75" hidden="false" customHeight="false" outlineLevel="0" collapsed="false">
      <c r="A12" s="382" t="s">
        <v>3403</v>
      </c>
      <c r="B12" s="383"/>
      <c r="C12" s="384"/>
      <c r="D12" s="360"/>
      <c r="E12" s="360"/>
      <c r="F12" s="377" t="n">
        <f aca="false">($B12*$B$7+$C12*$C$7)/100</f>
        <v>0</v>
      </c>
      <c r="G12" s="378"/>
      <c r="H12" s="330"/>
      <c r="I12" s="281"/>
      <c r="J12" s="379" t="s">
        <v>3404</v>
      </c>
      <c r="K12" s="379"/>
      <c r="L12" s="380" t="n">
        <f aca="false">COUNTIF($G$23:$G$82,"=ALG")</f>
        <v>0</v>
      </c>
      <c r="M12" s="381"/>
      <c r="N12" s="385"/>
      <c r="O12" s="386" t="s">
        <v>3398</v>
      </c>
      <c r="P12" s="387"/>
      <c r="Q12" s="388"/>
      <c r="R12" s="281"/>
      <c r="S12" s="281"/>
      <c r="T12" s="281"/>
      <c r="U12" s="281"/>
      <c r="V12" s="281"/>
      <c r="W12" s="295"/>
      <c r="X12" s="0"/>
      <c r="Y12" s="0"/>
      <c r="Z12" s="0"/>
    </row>
    <row r="13" customFormat="false" ht="12.75" hidden="false" customHeight="false" outlineLevel="0" collapsed="false">
      <c r="A13" s="382" t="s">
        <v>3405</v>
      </c>
      <c r="B13" s="383"/>
      <c r="C13" s="384"/>
      <c r="D13" s="360"/>
      <c r="E13" s="360"/>
      <c r="F13" s="377" t="n">
        <f aca="false">($B13*$B$7+$C13*$C$7)/100</f>
        <v>0</v>
      </c>
      <c r="G13" s="378"/>
      <c r="H13" s="330"/>
      <c r="I13" s="281"/>
      <c r="J13" s="379" t="s">
        <v>3406</v>
      </c>
      <c r="K13" s="379"/>
      <c r="L13" s="380" t="n">
        <f aca="false">COUNTIF($G$23:$G$82,"=BRm")+COUNTIF($G$23:$G$82,"=BRh")</f>
        <v>0</v>
      </c>
      <c r="M13" s="381"/>
      <c r="N13" s="389" t="s">
        <v>3407</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3408</v>
      </c>
      <c r="B14" s="383"/>
      <c r="C14" s="384"/>
      <c r="D14" s="360"/>
      <c r="E14" s="360"/>
      <c r="F14" s="377" t="n">
        <f aca="false">($B14*$B$7+$C14*$C$7)/100</f>
        <v>0</v>
      </c>
      <c r="G14" s="378"/>
      <c r="H14" s="330"/>
      <c r="I14" s="281"/>
      <c r="J14" s="379" t="s">
        <v>3409</v>
      </c>
      <c r="K14" s="379"/>
      <c r="L14" s="380" t="n">
        <f aca="false">COUNTIF($G$23:$G$82,"=PTE")+COUNTIF($G$23:$G$82,"=LIC")</f>
        <v>0</v>
      </c>
      <c r="M14" s="381"/>
      <c r="N14" s="392" t="s">
        <v>3410</v>
      </c>
      <c r="O14" s="393" t="n">
        <f aca="false">COUNTIF($J$23:$J$82,"&gt;-1")</f>
        <v>0</v>
      </c>
      <c r="P14" s="394"/>
      <c r="Q14" s="391"/>
      <c r="R14" s="281"/>
      <c r="S14" s="281"/>
      <c r="T14" s="281"/>
      <c r="U14" s="281"/>
      <c r="V14" s="281"/>
      <c r="W14" s="295"/>
      <c r="X14" s="0"/>
      <c r="Y14" s="0"/>
      <c r="Z14" s="0"/>
    </row>
    <row r="15" customFormat="false" ht="12.75" hidden="false" customHeight="false" outlineLevel="0" collapsed="false">
      <c r="A15" s="395" t="s">
        <v>3411</v>
      </c>
      <c r="B15" s="396"/>
      <c r="C15" s="397"/>
      <c r="D15" s="360"/>
      <c r="E15" s="360"/>
      <c r="F15" s="377" t="n">
        <f aca="false">($B15*$B$7+$C15*$C$7)/100</f>
        <v>0</v>
      </c>
      <c r="G15" s="378"/>
      <c r="H15" s="330"/>
      <c r="I15" s="281"/>
      <c r="J15" s="379" t="s">
        <v>3412</v>
      </c>
      <c r="K15" s="379"/>
      <c r="L15" s="380" t="n">
        <f aca="false">(COUNTIF($G$23:$G$82,"=PHy"))+(COUNTIF($G$23:$G$82,"=PHe"))+(COUNTIF($G$23:$G$82,"=PHg"))+(COUNTIF($G$23:$G$82,"=PHx"))</f>
        <v>0</v>
      </c>
      <c r="M15" s="381"/>
      <c r="N15" s="389" t="s">
        <v>3413</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3414</v>
      </c>
      <c r="B16" s="375"/>
      <c r="C16" s="376"/>
      <c r="D16" s="360"/>
      <c r="E16" s="360"/>
      <c r="F16" s="398"/>
      <c r="G16" s="399" t="n">
        <f aca="false">($B16*$B$7+$C16*$C$7)/100</f>
        <v>0</v>
      </c>
      <c r="H16" s="330"/>
      <c r="I16" s="281"/>
      <c r="J16" s="400"/>
      <c r="K16" s="401"/>
      <c r="L16" s="401"/>
      <c r="M16" s="381"/>
      <c r="N16" s="389" t="s">
        <v>3415</v>
      </c>
      <c r="O16" s="390" t="n">
        <f aca="false">COUNTIF(K23:K82,"=2")</f>
        <v>0</v>
      </c>
      <c r="P16" s="372"/>
      <c r="Q16" s="391"/>
      <c r="R16" s="281"/>
      <c r="S16" s="281"/>
      <c r="T16" s="281"/>
      <c r="U16" s="281"/>
      <c r="V16" s="281"/>
      <c r="W16" s="295"/>
      <c r="X16" s="0"/>
      <c r="Y16" s="0"/>
      <c r="Z16" s="0"/>
    </row>
    <row r="17" customFormat="false" ht="12.75" hidden="false" customHeight="false" outlineLevel="0" collapsed="false">
      <c r="A17" s="382" t="s">
        <v>3416</v>
      </c>
      <c r="B17" s="383"/>
      <c r="C17" s="384"/>
      <c r="D17" s="360"/>
      <c r="E17" s="360"/>
      <c r="F17" s="402"/>
      <c r="G17" s="403" t="n">
        <f aca="false">($B17*$B$7+$C17*$C$7)/100</f>
        <v>0</v>
      </c>
      <c r="H17" s="330"/>
      <c r="I17" s="281"/>
      <c r="J17" s="404"/>
      <c r="K17" s="405"/>
      <c r="L17" s="406" t="s">
        <v>3417</v>
      </c>
      <c r="M17" s="407" t="str">
        <f aca="false">IF(ISERROR((O13-(COUNTIF(J23:J82,"nc")))/O13),"-",(O13-(COUNTIF(J23:J82,"nc")))/O13)</f>
        <v>-</v>
      </c>
      <c r="N17" s="389" t="s">
        <v>3418</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3419</v>
      </c>
      <c r="B18" s="410"/>
      <c r="C18" s="411"/>
      <c r="D18" s="360"/>
      <c r="E18" s="412" t="s">
        <v>3420</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3421</v>
      </c>
      <c r="B20" s="432" t="n">
        <f aca="false">SUM(B23:B82)</f>
        <v>0</v>
      </c>
      <c r="C20" s="433" t="n">
        <f aca="false">SUM(C23:C82)</f>
        <v>0</v>
      </c>
      <c r="D20" s="434"/>
      <c r="E20" s="435" t="s">
        <v>3420</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3422</v>
      </c>
      <c r="B21" s="444" t="n">
        <f aca="false">B20*B7/100</f>
        <v>0</v>
      </c>
      <c r="C21" s="444" t="n">
        <f aca="false">C20*C7/100</f>
        <v>0</v>
      </c>
      <c r="D21" s="445" t="s">
        <v>3423</v>
      </c>
      <c r="E21" s="446"/>
      <c r="F21" s="447" t="n">
        <f aca="false">B21+C21</f>
        <v>0</v>
      </c>
      <c r="G21" s="448"/>
      <c r="H21" s="360"/>
      <c r="I21" s="281"/>
      <c r="J21" s="449"/>
      <c r="K21" s="449"/>
      <c r="L21" s="450"/>
      <c r="M21" s="450"/>
      <c r="N21" s="451"/>
      <c r="O21" s="451"/>
      <c r="P21" s="452"/>
      <c r="Q21" s="443"/>
      <c r="R21" s="281"/>
      <c r="S21" s="281"/>
      <c r="T21" s="453"/>
      <c r="U21" s="453"/>
      <c r="V21" s="281"/>
      <c r="W21" s="454"/>
      <c r="X21" s="455" t="s">
        <v>3424</v>
      </c>
      <c r="Y21" s="0"/>
      <c r="Z21" s="0"/>
    </row>
    <row r="22" customFormat="false" ht="12.75" hidden="false" customHeight="false" outlineLevel="0" collapsed="false">
      <c r="A22" s="456" t="s">
        <v>3425</v>
      </c>
      <c r="B22" s="457" t="s">
        <v>3426</v>
      </c>
      <c r="C22" s="457" t="s">
        <v>3426</v>
      </c>
      <c r="D22" s="458"/>
      <c r="E22" s="459"/>
      <c r="F22" s="460" t="s">
        <v>3427</v>
      </c>
      <c r="G22" s="461" t="s">
        <v>23</v>
      </c>
      <c r="H22" s="360" t="s">
        <v>24</v>
      </c>
      <c r="I22" s="281" t="s">
        <v>3428</v>
      </c>
      <c r="J22" s="462" t="s">
        <v>3429</v>
      </c>
      <c r="K22" s="462" t="s">
        <v>3430</v>
      </c>
      <c r="L22" s="463" t="s">
        <v>3431</v>
      </c>
      <c r="M22" s="463"/>
      <c r="N22" s="463"/>
      <c r="O22" s="463"/>
      <c r="P22" s="455" t="s">
        <v>3432</v>
      </c>
      <c r="Q22" s="464" t="s">
        <v>3433</v>
      </c>
      <c r="R22" s="465" t="s">
        <v>3434</v>
      </c>
      <c r="S22" s="466" t="s">
        <v>3435</v>
      </c>
      <c r="T22" s="467" t="s">
        <v>3436</v>
      </c>
      <c r="U22" s="467" t="s">
        <v>3437</v>
      </c>
      <c r="V22" s="468" t="s">
        <v>3438</v>
      </c>
      <c r="W22" s="469" t="s">
        <v>3439</v>
      </c>
      <c r="X22" s="469" t="s">
        <v>3440</v>
      </c>
      <c r="Y22" s="470" t="s">
        <v>3441</v>
      </c>
      <c r="Z22" s="470" t="s">
        <v>3442</v>
      </c>
    </row>
    <row r="23" customFormat="false" ht="12.75" hidden="false" customHeight="false" outlineLevel="0" collapsed="false">
      <c r="A23" s="471"/>
      <c r="B23" s="472"/>
      <c r="C23" s="473"/>
      <c r="D23" s="474" t="str">
        <f aca="false">IF(ISERROR(VLOOKUP($A23,'liste reference'!$A$6:$B$1174,2,0)),IF(ISERROR(VLOOKUP($A23,'liste reference'!$B$6:$B$1174,1,0)),"",VLOOKUP($A23,'liste reference'!$B$6:$B$1174,1,0)),VLOOKUP($A23,'liste reference'!$A$6:$B$1174,2,0))</f>
        <v/>
      </c>
      <c r="E23" s="475" t="n">
        <f aca="false">IF(D23="",0,VLOOKUP(D23,D$22:D22,1,0))</f>
        <v>0</v>
      </c>
      <c r="F23" s="476" t="str">
        <f aca="false">IF(AND(OR(A23="",A23="!!!!!!"),B23="",C23=""),"",IF(OR(AND(B23="",C23=""),ISERROR(C23+B23)),"!!!",($B23*$B$7+$C23*$C$7)/100))</f>
        <v/>
      </c>
      <c r="G23" s="477" t="str">
        <f aca="false">IF(A23="","",IF(ISERROR(VLOOKUP($A23,'liste reference'!$A$6:$Q$1174,9,0)),IF(ISERROR(VLOOKUP($A23,'liste reference'!$B$6:$Q$1174,8,0)),"    -",VLOOKUP($A23,'liste reference'!$B$6:$Q$1174,8,0)),VLOOKUP($A23,'liste reference'!$A$6:$Q$1174,9,0)))</f>
        <v/>
      </c>
      <c r="H23" s="478" t="str">
        <f aca="false">IF(A23="","x",IF(ISERROR(VLOOKUP($A23,'liste reference'!$A$6:$Q$1174,10,0)),IF(ISERROR(VLOOKUP($A23,'liste reference'!$B$6:$Q$1174,9,0)),"x",VLOOKUP($A23,'liste reference'!$B$6:$Q$1174,9,0)),VLOOKUP($A23,'liste reference'!$A$6:$Q$1174,10,0)))</f>
        <v>x</v>
      </c>
      <c r="I23" s="281" t="str">
        <f aca="false">IF(A23="","",1)</f>
        <v/>
      </c>
      <c r="J23" s="479" t="str">
        <f aca="false">IF(ISNUMBER($H23),IF(ISERROR(VLOOKUP($A23,'liste reference'!$A$6:$Q$1174,6,0)),IF(ISERROR(VLOOKUP($A23,'liste reference'!$B$6:$Q$1174,5,0)),"nu",VLOOKUP($A23,'liste reference'!$B$6:$Q$1174,5,0)),VLOOKUP($A23,'liste reference'!$A$6:$Q$1174,6,0)),"nu")</f>
        <v>nu</v>
      </c>
      <c r="K23" s="479" t="str">
        <f aca="false">IF(ISNUMBER($H23),IF(ISERROR(VLOOKUP($A23,'liste reference'!$A$6:$Q$1174,7,0)),IF(ISERROR(VLOOKUP($A23,'liste reference'!$B$6:$Q$1174,6,0)),"nu",VLOOKUP($A23,'liste reference'!$B$6:$Q$1174,6,0)),VLOOKUP($A23,'liste reference'!$A$6:$Q$1174,7,0)),"nu")</f>
        <v>nu</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
      </c>
      <c r="M23" s="481"/>
      <c r="N23" s="481"/>
      <c r="O23" s="481"/>
      <c r="P23" s="482" t="s">
        <v>3443</v>
      </c>
      <c r="Q23" s="483" t="str">
        <f aca="false">IF(OR($A23="NEWCOD",$A23="!!!!!!"),IF(X23="","NoCod",X23),IF($A23="","",IF(ISERROR(VLOOKUP($A23,'liste reference'!$A$6:$H$1174,8,0)),IF(ISERROR(VLOOKUP($A23,'liste reference'!$B$6:$H$1174,7,0)),"",VLOOKUP($A23,'liste reference'!$B$6:$H$1174,7,0)),VLOOKUP($A23,'liste reference'!$A$6:$H$1174,8,0))))</f>
        <v/>
      </c>
      <c r="R23" s="484" t="str">
        <f aca="false">IF(ISTEXT(H23),"",(B23*$B$7/100)+(C23*$C$7/100))</f>
        <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
      </c>
      <c r="Z23" s="470" t="str">
        <f aca="false">IF(ISERROR(MATCH(A23,'liste reference'!$A$6:$A$1174,0)),IF(ISERROR(MATCH(A23,'liste reference'!$B$6:$B$1174,0)),"",(MATCH(A23,'liste reference'!$B$6:$B$1174,0))),(MATCH(A23,'liste reference'!$A$6:$A$1174,0)))</f>
        <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3443</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3443</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3443</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3443</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3443</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3443</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3443</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3443</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3443</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3443</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3443</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3443</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3443</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3443</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3443</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3443</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3443</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3443</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3443</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3443</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3443</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3443</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3443</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3443</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3443</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3443</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3443</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3443</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3443</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3443</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3443</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3443</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3443</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3443</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3443</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3443</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3443</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3443</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3443</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3443</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3443</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3443</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3443</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3443</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3443</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3443</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3443</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3443</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3443</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3443</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3443</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3443</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3443</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3443</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3443</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3443</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3443</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3443</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3443</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0</v>
      </c>
      <c r="G84" s="453" t="n">
        <f aca="false">O15</f>
        <v>0</v>
      </c>
      <c r="H84" s="453" t="n">
        <f aca="false">O16</f>
        <v>0</v>
      </c>
      <c r="I84" s="453" t="n">
        <f aca="false">O17</f>
        <v>0</v>
      </c>
      <c r="J84" s="528" t="str">
        <f aca="false">O8</f>
        <v> </v>
      </c>
      <c r="K84" s="529" t="str">
        <f aca="false">O9</f>
        <v> </v>
      </c>
      <c r="L84" s="530" t="n">
        <f aca="false">O10</f>
        <v>0</v>
      </c>
      <c r="M84" s="530" t="n">
        <f aca="false">O11</f>
        <v>0</v>
      </c>
      <c r="N84" s="529" t="str">
        <f aca="false">P8</f>
        <v>  </v>
      </c>
      <c r="O84" s="529" t="str">
        <f aca="false">P9</f>
        <v>  </v>
      </c>
      <c r="P84" s="530" t="n">
        <f aca="false">P10</f>
        <v>0</v>
      </c>
      <c r="Q84" s="530" t="n">
        <f aca="false">P11</f>
        <v>0</v>
      </c>
      <c r="R84" s="530" t="n">
        <f aca="false">F21</f>
        <v>0</v>
      </c>
      <c r="S84" s="530" t="n">
        <f aca="false">L11</f>
        <v>0</v>
      </c>
      <c r="T84" s="530" t="n">
        <f aca="false">L12</f>
        <v>0</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3444</v>
      </c>
      <c r="S86" s="281"/>
      <c r="T86" s="536"/>
      <c r="U86" s="281"/>
      <c r="V86" s="281"/>
    </row>
    <row r="87" customFormat="false" ht="12.75" hidden="true" customHeight="false" outlineLevel="0" collapsed="false">
      <c r="C87" s="534"/>
      <c r="D87" s="534"/>
      <c r="E87" s="534"/>
      <c r="R87" s="281" t="s">
        <v>3445</v>
      </c>
      <c r="S87" s="281"/>
      <c r="T87" s="536" t="e">
        <f aca="false">VLOOKUP($T$91,($A$23:$U$82),20,0)</f>
        <v>#N/A</v>
      </c>
      <c r="U87" s="281"/>
      <c r="V87" s="281"/>
    </row>
    <row r="88" customFormat="false" ht="12.75" hidden="true" customHeight="false" outlineLevel="0" collapsed="false">
      <c r="C88" s="534"/>
      <c r="D88" s="534"/>
      <c r="E88" s="534"/>
      <c r="R88" s="281" t="s">
        <v>3446</v>
      </c>
      <c r="S88" s="281"/>
      <c r="T88" s="536" t="e">
        <f aca="false">VLOOKUP($T$91,($A$23:$U$82),21,0)</f>
        <v>#N/A</v>
      </c>
      <c r="U88" s="281"/>
      <c r="V88" s="281" t="n">
        <f aca="false">COUNTIF(V23:V82,T89)</f>
        <v>60</v>
      </c>
    </row>
    <row r="89" customFormat="false" ht="12.75" hidden="true" customHeight="false" outlineLevel="0" collapsed="false">
      <c r="C89" s="534"/>
      <c r="D89" s="534"/>
      <c r="E89" s="534"/>
      <c r="R89" s="281" t="s">
        <v>3447</v>
      </c>
      <c r="S89" s="281"/>
      <c r="T89" s="536" t="n">
        <f aca="false">MAX($V$23:$V$82)</f>
        <v>0</v>
      </c>
      <c r="U89" s="281"/>
      <c r="V89" s="0"/>
    </row>
    <row r="90" customFormat="false" ht="12.75" hidden="true" customHeight="false" outlineLevel="0" collapsed="false">
      <c r="C90" s="534"/>
      <c r="D90" s="534"/>
      <c r="E90" s="534"/>
      <c r="R90" s="281" t="s">
        <v>3448</v>
      </c>
      <c r="S90" s="281" t="s">
        <v>3449</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3450</v>
      </c>
      <c r="S91" s="485"/>
      <c r="T91" s="485" t="e">
        <f aca="false">INDEX('liste reference'!$A$6:$A$1174,$U$91)</f>
        <v>#N/A</v>
      </c>
      <c r="U91" s="281" t="e">
        <f aca="false">IF(ISERROR(MATCH($T$93,'liste reference'!$A$6:$A$1174,0)),MATCH($T$93,'liste reference'!$B$6:$B$1174,0),(MATCH($T$93,'liste reference'!$A$6:$A$1174,0)))</f>
        <v>#N/A</v>
      </c>
      <c r="V91" s="538"/>
    </row>
    <row r="92" customFormat="false" ht="12.75" hidden="true" customHeight="false" outlineLevel="0" collapsed="false">
      <c r="C92" s="534"/>
      <c r="D92" s="534"/>
      <c r="E92" s="534"/>
      <c r="R92" s="281" t="s">
        <v>3451</v>
      </c>
      <c r="S92" s="281"/>
      <c r="T92" s="281" t="n">
        <f aca="false">MATCH(T89,$V$23:$V$82,0)</f>
        <v>1</v>
      </c>
      <c r="U92" s="281"/>
    </row>
    <row r="93" customFormat="false" ht="12.75" hidden="true" customHeight="false" outlineLevel="0" collapsed="false">
      <c r="C93" s="534"/>
      <c r="D93" s="534"/>
      <c r="E93" s="534"/>
      <c r="R93" s="485" t="s">
        <v>3452</v>
      </c>
      <c r="S93" s="281"/>
      <c r="T93" s="485" t="n">
        <f aca="false">INDEX($A$23:$A$82,$T$92)</f>
        <v>0</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3453</v>
      </c>
      <c r="B2" s="286"/>
      <c r="C2" s="287" t="s">
        <v>3454</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3455</v>
      </c>
      <c r="B3" s="286"/>
      <c r="C3" s="285" t="s">
        <v>3456</v>
      </c>
      <c r="D3" s="296"/>
      <c r="E3" s="296"/>
      <c r="F3" s="297"/>
      <c r="G3" s="297"/>
      <c r="H3" s="296"/>
      <c r="I3" s="281"/>
      <c r="J3" s="288"/>
      <c r="K3" s="298"/>
      <c r="L3" s="299" t="s">
        <v>3457</v>
      </c>
      <c r="M3" s="300"/>
      <c r="N3" s="301" t="s">
        <v>3458</v>
      </c>
      <c r="O3" s="302"/>
      <c r="P3" s="302"/>
      <c r="Q3" s="303"/>
      <c r="R3" s="281"/>
      <c r="S3" s="281"/>
      <c r="T3" s="281"/>
      <c r="U3" s="281"/>
      <c r="V3" s="281"/>
      <c r="W3" s="295"/>
      <c r="X3" s="0"/>
      <c r="Y3" s="0"/>
      <c r="Z3" s="0"/>
    </row>
    <row r="4" customFormat="false" ht="13.5" hidden="false" customHeight="false" outlineLevel="0" collapsed="false">
      <c r="A4" s="304" t="s">
        <v>3382</v>
      </c>
      <c r="B4" s="305" t="n">
        <v>42901</v>
      </c>
      <c r="C4" s="306"/>
      <c r="D4" s="307"/>
      <c r="E4" s="307"/>
      <c r="F4" s="306"/>
      <c r="G4" s="308"/>
      <c r="H4" s="307"/>
      <c r="I4" s="281"/>
      <c r="J4" s="309" t="s">
        <v>3383</v>
      </c>
      <c r="K4" s="310"/>
      <c r="L4" s="310"/>
      <c r="M4" s="311"/>
      <c r="N4" s="311"/>
      <c r="O4" s="312" t="s">
        <v>3449</v>
      </c>
      <c r="P4" s="311"/>
      <c r="Q4" s="313"/>
      <c r="R4" s="281"/>
      <c r="S4" s="281"/>
      <c r="T4" s="281"/>
      <c r="U4" s="281"/>
      <c r="V4" s="281"/>
      <c r="W4" s="295"/>
      <c r="X4" s="0"/>
      <c r="Y4" s="0"/>
      <c r="Z4" s="0"/>
    </row>
    <row r="5" customFormat="false" ht="14.25" hidden="false" customHeight="true" outlineLevel="0" collapsed="false">
      <c r="A5" s="314" t="s">
        <v>3384</v>
      </c>
      <c r="B5" s="315" t="s">
        <v>3385</v>
      </c>
      <c r="C5" s="316" t="s">
        <v>3386</v>
      </c>
      <c r="D5" s="317"/>
      <c r="E5" s="317"/>
      <c r="F5" s="318" t="s">
        <v>3359</v>
      </c>
      <c r="G5" s="319"/>
      <c r="H5" s="317"/>
      <c r="I5" s="281"/>
      <c r="J5" s="320"/>
      <c r="K5" s="321"/>
      <c r="L5" s="322" t="s">
        <v>18</v>
      </c>
      <c r="M5" s="323" t="n">
        <v>9.61111111111111</v>
      </c>
      <c r="N5" s="324"/>
      <c r="O5" s="325" t="s">
        <v>398</v>
      </c>
      <c r="P5" s="326" t="n">
        <v>8.93333333333333</v>
      </c>
      <c r="Q5" s="327"/>
      <c r="R5" s="281"/>
      <c r="S5" s="281"/>
      <c r="T5" s="281"/>
      <c r="U5" s="281"/>
      <c r="V5" s="281"/>
      <c r="W5" s="295"/>
      <c r="X5" s="0"/>
      <c r="Y5" s="0"/>
      <c r="Z5" s="0"/>
    </row>
    <row r="6" customFormat="false" ht="13.5" hidden="false" customHeight="false" outlineLevel="0" collapsed="false">
      <c r="A6" s="314" t="s">
        <v>3387</v>
      </c>
      <c r="B6" s="328" t="s">
        <v>3459</v>
      </c>
      <c r="C6" s="329" t="s">
        <v>3460</v>
      </c>
      <c r="D6" s="330"/>
      <c r="E6" s="330"/>
      <c r="F6" s="331"/>
      <c r="G6" s="319"/>
      <c r="H6" s="317"/>
      <c r="I6" s="281"/>
      <c r="J6" s="332"/>
      <c r="K6" s="333"/>
      <c r="L6" s="334" t="s">
        <v>3388</v>
      </c>
      <c r="M6" s="335" t="s">
        <v>3461</v>
      </c>
      <c r="N6" s="336"/>
      <c r="O6" s="337" t="n">
        <v>1</v>
      </c>
      <c r="P6" s="338" t="s">
        <v>3461</v>
      </c>
      <c r="Q6" s="339"/>
      <c r="R6" s="281"/>
      <c r="S6" s="281"/>
      <c r="T6" s="281"/>
      <c r="U6" s="281"/>
      <c r="V6" s="281"/>
      <c r="W6" s="295"/>
      <c r="X6" s="0"/>
      <c r="Y6" s="0"/>
      <c r="Z6" s="0"/>
    </row>
    <row r="7" customFormat="false" ht="12.75" hidden="false" customHeight="false" outlineLevel="0" collapsed="false">
      <c r="A7" s="340" t="s">
        <v>3389</v>
      </c>
      <c r="B7" s="341" t="n">
        <v>55</v>
      </c>
      <c r="C7" s="342" t="n">
        <v>45</v>
      </c>
      <c r="D7" s="330"/>
      <c r="E7" s="330"/>
      <c r="F7" s="343" t="n">
        <f aca="false">B7+C7</f>
        <v>100</v>
      </c>
      <c r="G7" s="344"/>
      <c r="H7" s="330"/>
      <c r="I7" s="281"/>
      <c r="J7" s="345"/>
      <c r="K7" s="346"/>
      <c r="L7" s="347"/>
      <c r="M7" s="348"/>
      <c r="N7" s="349"/>
      <c r="O7" s="350" t="s">
        <v>3390</v>
      </c>
      <c r="P7" s="351" t="s">
        <v>3391</v>
      </c>
      <c r="Q7" s="352"/>
      <c r="R7" s="281"/>
      <c r="S7" s="281"/>
      <c r="T7" s="281"/>
      <c r="U7" s="281"/>
      <c r="V7" s="281"/>
      <c r="W7" s="295"/>
      <c r="X7" s="0"/>
      <c r="Y7" s="0"/>
      <c r="Z7" s="0"/>
    </row>
    <row r="8" customFormat="false" ht="12.75" hidden="false" customHeight="false" outlineLevel="0" collapsed="false">
      <c r="A8" s="316" t="s">
        <v>3392</v>
      </c>
      <c r="B8" s="316"/>
      <c r="C8" s="316"/>
      <c r="D8" s="330"/>
      <c r="E8" s="330"/>
      <c r="F8" s="353" t="s">
        <v>3393</v>
      </c>
      <c r="G8" s="354"/>
      <c r="H8" s="330"/>
      <c r="I8" s="281"/>
      <c r="J8" s="345"/>
      <c r="K8" s="346"/>
      <c r="L8" s="347"/>
      <c r="M8" s="348"/>
      <c r="N8" s="355" t="s">
        <v>3394</v>
      </c>
      <c r="O8" s="356" t="n">
        <f aca="false">IF(ISERROR(AVERAGE(J23:J82))," ",AVERAGE(J23:J82))</f>
        <v>9.44444444444445</v>
      </c>
      <c r="P8" s="356" t="n">
        <f aca="false">IF(ISERROR(AVERAGE(K23:K82)),"  ",AVERAGE(K23:K82))</f>
        <v>1.66666666666667</v>
      </c>
      <c r="Q8" s="357"/>
      <c r="R8" s="281"/>
      <c r="S8" s="281"/>
      <c r="T8" s="281"/>
      <c r="U8" s="281"/>
      <c r="V8" s="281"/>
      <c r="W8" s="295"/>
      <c r="X8" s="0"/>
      <c r="Y8" s="0"/>
      <c r="Z8" s="0"/>
    </row>
    <row r="9" customFormat="false" ht="12.75" hidden="false" customHeight="false" outlineLevel="0" collapsed="false">
      <c r="A9" s="314" t="s">
        <v>3395</v>
      </c>
      <c r="B9" s="358" t="n">
        <v>1</v>
      </c>
      <c r="C9" s="359" t="n">
        <v>2</v>
      </c>
      <c r="D9" s="360"/>
      <c r="E9" s="360"/>
      <c r="F9" s="361" t="n">
        <f aca="false">($B9*$B$7+$C9*$C$7)/100</f>
        <v>1.45</v>
      </c>
      <c r="G9" s="362"/>
      <c r="H9" s="317"/>
      <c r="I9" s="281"/>
      <c r="J9" s="363"/>
      <c r="K9" s="364"/>
      <c r="L9" s="347"/>
      <c r="M9" s="365"/>
      <c r="N9" s="355" t="s">
        <v>3396</v>
      </c>
      <c r="O9" s="356" t="n">
        <f aca="false">IF(ISERROR(STDEVP(J23:J82))," ",STDEVP(J23:J82))</f>
        <v>2.67129228448251</v>
      </c>
      <c r="P9" s="356" t="n">
        <f aca="false">IF(ISERROR(STDEVP(K23:K82)),"  ",STDEVP(K23:K82))</f>
        <v>0.666666666666667</v>
      </c>
      <c r="Q9" s="357"/>
      <c r="R9" s="281"/>
      <c r="S9" s="281"/>
      <c r="T9" s="281"/>
      <c r="U9" s="281"/>
      <c r="V9" s="281"/>
      <c r="W9" s="295"/>
      <c r="X9" s="0"/>
      <c r="Y9" s="0"/>
      <c r="Z9" s="0"/>
    </row>
    <row r="10" customFormat="false" ht="12.75" hidden="false" customHeight="false" outlineLevel="0" collapsed="false">
      <c r="A10" s="314" t="s">
        <v>3397</v>
      </c>
      <c r="B10" s="366" t="s">
        <v>3462</v>
      </c>
      <c r="C10" s="367" t="s">
        <v>3462</v>
      </c>
      <c r="D10" s="360"/>
      <c r="E10" s="360"/>
      <c r="F10" s="361"/>
      <c r="G10" s="362"/>
      <c r="H10" s="330"/>
      <c r="I10" s="281"/>
      <c r="J10" s="368"/>
      <c r="K10" s="369" t="s">
        <v>3398</v>
      </c>
      <c r="L10" s="370"/>
      <c r="M10" s="371"/>
      <c r="N10" s="355" t="s">
        <v>3399</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3400</v>
      </c>
      <c r="B11" s="375"/>
      <c r="C11" s="376"/>
      <c r="D11" s="360"/>
      <c r="E11" s="360"/>
      <c r="F11" s="377" t="n">
        <f aca="false">($B11*$B$7+$C11*$C$7)/100</f>
        <v>0</v>
      </c>
      <c r="G11" s="378"/>
      <c r="H11" s="330"/>
      <c r="I11" s="281"/>
      <c r="J11" s="379" t="s">
        <v>3401</v>
      </c>
      <c r="K11" s="379"/>
      <c r="L11" s="380" t="n">
        <f aca="false">COUNTIF($G$23:$G$82,"=HET")</f>
        <v>0</v>
      </c>
      <c r="M11" s="381"/>
      <c r="N11" s="355" t="s">
        <v>3402</v>
      </c>
      <c r="O11" s="372" t="n">
        <f aca="false">MAX(J23:J82)</f>
        <v>13</v>
      </c>
      <c r="P11" s="372" t="n">
        <f aca="false">MAX(K23:K82)</f>
        <v>3</v>
      </c>
      <c r="Q11" s="373"/>
      <c r="R11" s="281"/>
      <c r="S11" s="281"/>
      <c r="T11" s="281"/>
      <c r="U11" s="281"/>
      <c r="V11" s="281"/>
      <c r="W11" s="295"/>
      <c r="X11" s="0"/>
      <c r="Y11" s="0"/>
      <c r="Z11" s="0"/>
    </row>
    <row r="12" customFormat="false" ht="12.75" hidden="false" customHeight="false" outlineLevel="0" collapsed="false">
      <c r="A12" s="382" t="s">
        <v>3403</v>
      </c>
      <c r="B12" s="383" t="n">
        <v>1</v>
      </c>
      <c r="C12" s="384" t="n">
        <v>2</v>
      </c>
      <c r="D12" s="360"/>
      <c r="E12" s="360"/>
      <c r="F12" s="377" t="n">
        <f aca="false">($B12*$B$7+$C12*$C$7)/100</f>
        <v>1.45</v>
      </c>
      <c r="G12" s="378"/>
      <c r="H12" s="330"/>
      <c r="I12" s="281"/>
      <c r="J12" s="379" t="s">
        <v>3404</v>
      </c>
      <c r="K12" s="379"/>
      <c r="L12" s="380" t="n">
        <f aca="false">COUNTIF($G$23:$G$82,"=ALG")</f>
        <v>9</v>
      </c>
      <c r="M12" s="381"/>
      <c r="N12" s="385"/>
      <c r="O12" s="386" t="s">
        <v>3398</v>
      </c>
      <c r="P12" s="387"/>
      <c r="Q12" s="388"/>
      <c r="R12" s="281"/>
      <c r="S12" s="281"/>
      <c r="T12" s="281"/>
      <c r="U12" s="281"/>
      <c r="V12" s="281"/>
      <c r="W12" s="295"/>
      <c r="X12" s="0"/>
      <c r="Y12" s="0"/>
      <c r="Z12" s="0"/>
    </row>
    <row r="13" customFormat="false" ht="12.75" hidden="false" customHeight="false" outlineLevel="0" collapsed="false">
      <c r="A13" s="382" t="s">
        <v>3405</v>
      </c>
      <c r="B13" s="383"/>
      <c r="C13" s="384"/>
      <c r="D13" s="360"/>
      <c r="E13" s="360"/>
      <c r="F13" s="377" t="n">
        <f aca="false">($B13*$B$7+$C13*$C$7)/100</f>
        <v>0</v>
      </c>
      <c r="G13" s="378"/>
      <c r="H13" s="330"/>
      <c r="I13" s="281"/>
      <c r="J13" s="379" t="s">
        <v>3406</v>
      </c>
      <c r="K13" s="379"/>
      <c r="L13" s="380" t="n">
        <f aca="false">COUNTIF($G$23:$G$82,"=BRm")+COUNTIF($G$23:$G$82,"=BRh")</f>
        <v>0</v>
      </c>
      <c r="M13" s="381"/>
      <c r="N13" s="389" t="s">
        <v>3407</v>
      </c>
      <c r="O13" s="390" t="n">
        <f aca="false">COUNTIF(F23:F82,"&gt;0")</f>
        <v>10</v>
      </c>
      <c r="P13" s="372"/>
      <c r="Q13" s="391"/>
      <c r="R13" s="281"/>
      <c r="S13" s="281"/>
      <c r="T13" s="281"/>
      <c r="U13" s="281"/>
      <c r="V13" s="281"/>
      <c r="W13" s="295"/>
      <c r="X13" s="0"/>
      <c r="Y13" s="0"/>
      <c r="Z13" s="0"/>
    </row>
    <row r="14" customFormat="false" ht="12.75" hidden="false" customHeight="false" outlineLevel="0" collapsed="false">
      <c r="A14" s="382" t="s">
        <v>3408</v>
      </c>
      <c r="B14" s="383"/>
      <c r="C14" s="384"/>
      <c r="D14" s="360"/>
      <c r="E14" s="360"/>
      <c r="F14" s="377" t="n">
        <f aca="false">($B14*$B$7+$C14*$C$7)/100</f>
        <v>0</v>
      </c>
      <c r="G14" s="378"/>
      <c r="H14" s="330"/>
      <c r="I14" s="281"/>
      <c r="J14" s="379" t="s">
        <v>3409</v>
      </c>
      <c r="K14" s="379"/>
      <c r="L14" s="380" t="n">
        <f aca="false">COUNTIF($G$23:$G$82,"=PTE")+COUNTIF($G$23:$G$82,"=LIC")</f>
        <v>0</v>
      </c>
      <c r="M14" s="381"/>
      <c r="N14" s="392" t="s">
        <v>3410</v>
      </c>
      <c r="O14" s="393" t="n">
        <f aca="false">COUNTIF($J$23:$J$82,"&gt;-1")</f>
        <v>9</v>
      </c>
      <c r="P14" s="394"/>
      <c r="Q14" s="391"/>
      <c r="R14" s="281"/>
      <c r="S14" s="281"/>
      <c r="T14" s="281"/>
      <c r="U14" s="281"/>
      <c r="V14" s="281"/>
      <c r="W14" s="295"/>
      <c r="X14" s="0"/>
      <c r="Y14" s="0"/>
      <c r="Z14" s="0"/>
    </row>
    <row r="15" customFormat="false" ht="12.75" hidden="false" customHeight="false" outlineLevel="0" collapsed="false">
      <c r="A15" s="395" t="s">
        <v>3411</v>
      </c>
      <c r="B15" s="396" t="n">
        <v>0.01</v>
      </c>
      <c r="C15" s="397" t="n">
        <v>0.01</v>
      </c>
      <c r="D15" s="360"/>
      <c r="E15" s="360"/>
      <c r="F15" s="377" t="n">
        <f aca="false">($B15*$B$7+$C15*$C$7)/100</f>
        <v>0.01</v>
      </c>
      <c r="G15" s="378"/>
      <c r="H15" s="330"/>
      <c r="I15" s="281"/>
      <c r="J15" s="379" t="s">
        <v>3412</v>
      </c>
      <c r="K15" s="379"/>
      <c r="L15" s="380" t="n">
        <f aca="false">(COUNTIF($G$23:$G$82,"=PHy"))+(COUNTIF($G$23:$G$82,"=PHe"))+(COUNTIF($G$23:$G$82,"=PHg"))+(COUNTIF($G$23:$G$82,"=PHx"))</f>
        <v>1</v>
      </c>
      <c r="M15" s="381"/>
      <c r="N15" s="389" t="s">
        <v>3413</v>
      </c>
      <c r="O15" s="390" t="n">
        <f aca="false">COUNTIF(K23:K82,"=1")</f>
        <v>4</v>
      </c>
      <c r="P15" s="372"/>
      <c r="Q15" s="391"/>
      <c r="R15" s="281"/>
      <c r="S15" s="281"/>
      <c r="T15" s="281"/>
      <c r="U15" s="281"/>
      <c r="V15" s="281"/>
      <c r="W15" s="295"/>
      <c r="X15" s="0"/>
      <c r="Y15" s="0"/>
      <c r="Z15" s="0"/>
    </row>
    <row r="16" customFormat="false" ht="12.75" hidden="false" customHeight="false" outlineLevel="0" collapsed="false">
      <c r="A16" s="374" t="s">
        <v>3414</v>
      </c>
      <c r="B16" s="375"/>
      <c r="C16" s="376"/>
      <c r="D16" s="360"/>
      <c r="E16" s="360"/>
      <c r="F16" s="398"/>
      <c r="G16" s="399" t="n">
        <f aca="false">($B16*$B$7+$C16*$C$7)/100</f>
        <v>0</v>
      </c>
      <c r="H16" s="330"/>
      <c r="I16" s="281"/>
      <c r="J16" s="400"/>
      <c r="K16" s="401"/>
      <c r="L16" s="401"/>
      <c r="M16" s="381"/>
      <c r="N16" s="389" t="s">
        <v>3415</v>
      </c>
      <c r="O16" s="390" t="n">
        <f aca="false">COUNTIF(K23:K82,"=2")</f>
        <v>4</v>
      </c>
      <c r="P16" s="372"/>
      <c r="Q16" s="391"/>
      <c r="R16" s="281"/>
      <c r="S16" s="281"/>
      <c r="T16" s="281"/>
      <c r="U16" s="281"/>
      <c r="V16" s="281"/>
      <c r="W16" s="295"/>
      <c r="X16" s="0"/>
      <c r="Y16" s="0"/>
      <c r="Z16" s="0"/>
    </row>
    <row r="17" customFormat="false" ht="12.75" hidden="false" customHeight="false" outlineLevel="0" collapsed="false">
      <c r="A17" s="382" t="s">
        <v>3416</v>
      </c>
      <c r="B17" s="383" t="n">
        <v>1</v>
      </c>
      <c r="C17" s="384" t="n">
        <v>2</v>
      </c>
      <c r="D17" s="360"/>
      <c r="E17" s="360"/>
      <c r="F17" s="402"/>
      <c r="G17" s="403" t="n">
        <f aca="false">($B17*$B$7+$C17*$C$7)/100</f>
        <v>1.45</v>
      </c>
      <c r="H17" s="330"/>
      <c r="I17" s="281"/>
      <c r="J17" s="404"/>
      <c r="K17" s="405"/>
      <c r="L17" s="406" t="s">
        <v>3417</v>
      </c>
      <c r="M17" s="407" t="n">
        <f aca="false">IF(ISERROR((O13-(COUNTIF(J23:J82,"nc")))/O13),"-",(O13-(COUNTIF(J23:J82,"nc")))/O13)</f>
        <v>0.9</v>
      </c>
      <c r="N17" s="389" t="s">
        <v>3418</v>
      </c>
      <c r="O17" s="390" t="n">
        <f aca="false">COUNTIF(K23:K82,"=3")</f>
        <v>1</v>
      </c>
      <c r="P17" s="372"/>
      <c r="Q17" s="391"/>
      <c r="R17" s="281"/>
      <c r="S17" s="281"/>
      <c r="T17" s="281"/>
      <c r="U17" s="281"/>
      <c r="V17" s="281"/>
      <c r="W17" s="408"/>
      <c r="X17" s="0"/>
      <c r="Y17" s="0"/>
      <c r="Z17" s="0"/>
    </row>
    <row r="18" customFormat="false" ht="12.75" hidden="false" customHeight="false" outlineLevel="0" collapsed="false">
      <c r="A18" s="409" t="s">
        <v>3419</v>
      </c>
      <c r="B18" s="410" t="n">
        <v>0.01</v>
      </c>
      <c r="C18" s="411" t="n">
        <v>0.01</v>
      </c>
      <c r="D18" s="360"/>
      <c r="E18" s="412" t="s">
        <v>3420</v>
      </c>
      <c r="F18" s="402"/>
      <c r="G18" s="403" t="n">
        <f aca="false">($B18*$B$7+$C18*$C$7)/100</f>
        <v>0.01</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1.46</v>
      </c>
      <c r="G19" s="423" t="n">
        <f aca="false">SUM(G16:G18)</f>
        <v>1.46</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3421</v>
      </c>
      <c r="B20" s="432" t="n">
        <f aca="false">SUM(B23:B82)</f>
        <v>0.61</v>
      </c>
      <c r="C20" s="433" t="n">
        <f aca="false">SUM(C23:C82)</f>
        <v>2.33</v>
      </c>
      <c r="D20" s="434"/>
      <c r="E20" s="435" t="s">
        <v>3420</v>
      </c>
      <c r="F20" s="436" t="n">
        <f aca="false">($B20*$B$7+$C20*$C$7)/100</f>
        <v>1.384</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3422</v>
      </c>
      <c r="B21" s="444" t="n">
        <f aca="false">B20*B7/100</f>
        <v>0.3355</v>
      </c>
      <c r="C21" s="444" t="n">
        <f aca="false">C20*C7/100</f>
        <v>1.0485</v>
      </c>
      <c r="D21" s="445" t="s">
        <v>3423</v>
      </c>
      <c r="E21" s="446"/>
      <c r="F21" s="447" t="n">
        <f aca="false">B21+C21</f>
        <v>1.384</v>
      </c>
      <c r="G21" s="448"/>
      <c r="H21" s="360"/>
      <c r="I21" s="281"/>
      <c r="J21" s="449"/>
      <c r="K21" s="449"/>
      <c r="L21" s="450"/>
      <c r="M21" s="450"/>
      <c r="N21" s="451"/>
      <c r="O21" s="451"/>
      <c r="P21" s="452"/>
      <c r="Q21" s="443"/>
      <c r="R21" s="281"/>
      <c r="S21" s="281"/>
      <c r="T21" s="453"/>
      <c r="U21" s="453"/>
      <c r="V21" s="281"/>
      <c r="W21" s="454"/>
      <c r="X21" s="455" t="s">
        <v>3424</v>
      </c>
      <c r="Y21" s="0"/>
      <c r="Z21" s="0"/>
    </row>
    <row r="22" customFormat="false" ht="12.75" hidden="false" customHeight="false" outlineLevel="0" collapsed="false">
      <c r="A22" s="456" t="s">
        <v>3425</v>
      </c>
      <c r="B22" s="457" t="s">
        <v>3426</v>
      </c>
      <c r="C22" s="457" t="s">
        <v>3426</v>
      </c>
      <c r="D22" s="458"/>
      <c r="E22" s="459"/>
      <c r="F22" s="460" t="s">
        <v>3427</v>
      </c>
      <c r="G22" s="461" t="s">
        <v>23</v>
      </c>
      <c r="H22" s="360" t="s">
        <v>24</v>
      </c>
      <c r="I22" s="281" t="s">
        <v>3428</v>
      </c>
      <c r="J22" s="462" t="s">
        <v>3429</v>
      </c>
      <c r="K22" s="462" t="s">
        <v>3430</v>
      </c>
      <c r="L22" s="463" t="s">
        <v>3431</v>
      </c>
      <c r="M22" s="463"/>
      <c r="N22" s="463"/>
      <c r="O22" s="463"/>
      <c r="P22" s="455" t="s">
        <v>3432</v>
      </c>
      <c r="Q22" s="464" t="s">
        <v>3433</v>
      </c>
      <c r="R22" s="465" t="s">
        <v>3434</v>
      </c>
      <c r="S22" s="466" t="s">
        <v>3435</v>
      </c>
      <c r="T22" s="467" t="s">
        <v>3436</v>
      </c>
      <c r="U22" s="467" t="s">
        <v>3437</v>
      </c>
      <c r="V22" s="468" t="s">
        <v>3438</v>
      </c>
      <c r="W22" s="469" t="s">
        <v>3439</v>
      </c>
      <c r="X22" s="469" t="s">
        <v>3440</v>
      </c>
      <c r="Y22" s="470" t="s">
        <v>3441</v>
      </c>
      <c r="Z22" s="470" t="s">
        <v>3442</v>
      </c>
    </row>
    <row r="23" customFormat="false" ht="12.75" hidden="false" customHeight="false" outlineLevel="0" collapsed="false">
      <c r="A23" s="471" t="s">
        <v>58</v>
      </c>
      <c r="B23" s="472"/>
      <c r="C23" s="473" t="n">
        <v>0.002</v>
      </c>
      <c r="D23" s="474" t="str">
        <f aca="false">IF(ISERROR(VLOOKUP($A23,'liste reference'!$A$6:$B$1174,2,0)),IF(ISERROR(VLOOKUP($A23,'liste reference'!$B$6:$B$1174,1,0)),"",VLOOKUP($A23,'liste reference'!$B$6:$B$1174,1,0)),VLOOKUP($A23,'liste reference'!$A$6:$B$1174,2,0))</f>
        <v>Bangia sp.</v>
      </c>
      <c r="E23" s="475" t="e">
        <f aca="false">IF(D23="",0,VLOOKUP(D23,D$22:D22,1,0))</f>
        <v>#N/A</v>
      </c>
      <c r="F23" s="476" t="n">
        <f aca="false">IF(AND(OR(A23="",A23="!!!!!!"),B23="",C23=""),"",IF(OR(AND(B23="",C23=""),ISERROR(C23+B23)),"!!!",($B23*$B$7+$C23*$C$7)/100))</f>
        <v>0.0009</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10</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Bangia sp.</v>
      </c>
      <c r="M23" s="481"/>
      <c r="N23" s="481"/>
      <c r="O23" s="481"/>
      <c r="P23" s="482" t="s">
        <v>3443</v>
      </c>
      <c r="Q23" s="483" t="n">
        <f aca="false">IF(OR($A23="NEWCOD",$A23="!!!!!!"),IF(X23="","NoCod",X23),IF($A23="","",IF(ISERROR(VLOOKUP($A23,'liste reference'!$A$6:$H$1174,8,0)),IF(ISERROR(VLOOKUP($A23,'liste reference'!$B$6:$H$1174,7,0)),"",VLOOKUP($A23,'liste reference'!$B$6:$H$1174,7,0)),VLOOKUP($A23,'liste reference'!$A$6:$H$1174,8,0))))</f>
        <v>1153</v>
      </c>
      <c r="R23" s="484" t="n">
        <f aca="false">IF(ISTEXT(H23),"",(B23*$B$7/100)+(C23*$C$7/100))</f>
        <v>0.0009</v>
      </c>
      <c r="S23" s="485" t="n">
        <f aca="false">IF(OR(ISTEXT(H23),R23=0),"",IF(R23&lt;0.1,1,IF(R23&lt;1,2,IF(R23&lt;10,3,IF(R23&lt;50,4,IF(R23&gt;=50,5,""))))))</f>
        <v>1</v>
      </c>
      <c r="T23" s="485" t="n">
        <f aca="false">IF(ISERROR(S23*J23),0,S23*J23)</f>
        <v>10</v>
      </c>
      <c r="U23" s="485" t="n">
        <f aca="false">IF(ISERROR(S23*J23*K23),0,S23*J23*K23)</f>
        <v>20</v>
      </c>
      <c r="V23" s="485" t="n">
        <f aca="false">IF(ISERROR(S23*K23),0,S23*K23)</f>
        <v>2</v>
      </c>
      <c r="W23" s="486"/>
      <c r="X23" s="487"/>
      <c r="Y23" s="488" t="str">
        <f aca="false">IF(AND(ISNUMBER(F23),OR(A23="",A23="!!!!!!")),"!!!!!!",IF(A23="new.cod","NEWCOD",IF(AND((Z23=""),ISTEXT(A23),A23&lt;&gt;"!!!!!!"),A23,IF(Z23="","",INDEX('liste reference'!$A$6:$A$1174,Z23)))))</f>
        <v>BANSPX</v>
      </c>
      <c r="Z23" s="470" t="n">
        <f aca="false">IF(ISERROR(MATCH(A23,'liste reference'!$A$6:$A$1174,0)),IF(ISERROR(MATCH(A23,'liste reference'!$B$6:$B$1174,0)),"",(MATCH(A23,'liste reference'!$B$6:$B$1174,0))),(MATCH(A23,'liste reference'!$A$6:$A$1174,0)))</f>
        <v>9</v>
      </c>
    </row>
    <row r="24" customFormat="false" ht="12.75" hidden="false" customHeight="false" outlineLevel="0" collapsed="false">
      <c r="A24" s="489" t="s">
        <v>134</v>
      </c>
      <c r="B24" s="490" t="n">
        <v>0.5</v>
      </c>
      <c r="C24" s="491" t="n">
        <v>0.925</v>
      </c>
      <c r="D24" s="492" t="str">
        <f aca="false">IF(ISERROR(VLOOKUP($A24,'liste reference'!$A$6:$B$1174,2,0)),IF(ISERROR(VLOOKUP($A24,'liste reference'!$B$6:$B$1174,1,0)),"",VLOOKUP($A24,'liste reference'!$B$6:$B$1174,1,0)),VLOOKUP($A24,'liste reference'!$A$6:$B$1174,2,0))</f>
        <v>Cladophora sp.</v>
      </c>
      <c r="E24" s="493" t="e">
        <f aca="false">IF(D24="",0,VLOOKUP(D24,D$22:D23,1,0))</f>
        <v>#N/A</v>
      </c>
      <c r="F24" s="494" t="n">
        <f aca="false">IF(AND(OR(A24="",A24="!!!!!!"),B24="",C24=""),"",IF(OR(AND(B24="",C24=""),ISERROR(C24+B24)),"!!!",($B24*$B$7+$C24*$C$7)/100))</f>
        <v>0.69125</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6</v>
      </c>
      <c r="K24" s="497" t="n">
        <f aca="false">IF(ISNUMBER($H24),IF(ISERROR(VLOOKUP($A24,'liste reference'!$A$6:$Q$1174,7,0)),IF(ISERROR(VLOOKUP($A24,'liste reference'!$B$6:$Q$1174,6,0)),"nu",VLOOKUP($A24,'liste reference'!$B$6:$Q$1174,6,0)),VLOOKUP($A24,'liste reference'!$A$6:$Q$1174,7,0)),"nu")</f>
        <v>1</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Cladophora sp.</v>
      </c>
      <c r="M24" s="498"/>
      <c r="N24" s="498"/>
      <c r="O24" s="498"/>
      <c r="P24" s="499" t="s">
        <v>3443</v>
      </c>
      <c r="Q24" s="500" t="n">
        <f aca="false">IF(OR($A24="NEWCOD",$A24="!!!!!!"),IF(X24="","NoCod",X24),IF($A24="","",IF(ISERROR(VLOOKUP($A24,'liste reference'!$A$6:$H$1174,8,0)),IF(ISERROR(VLOOKUP($A24,'liste reference'!$B$6:$H$1174,7,0)),"",VLOOKUP($A24,'liste reference'!$B$6:$H$1174,7,0)),VLOOKUP($A24,'liste reference'!$A$6:$H$1174,8,0))))</f>
        <v>1124</v>
      </c>
      <c r="R24" s="484" t="n">
        <f aca="false">IF(ISTEXT(H24),"",(B24*$B$7/100)+(C24*$C$7/100))</f>
        <v>0.69125</v>
      </c>
      <c r="S24" s="485" t="n">
        <f aca="false">IF(OR(ISTEXT(H24),R24=0),"",IF(R24&lt;0.1,1,IF(R24&lt;1,2,IF(R24&lt;10,3,IF(R24&lt;50,4,IF(R24&gt;=50,5,""))))))</f>
        <v>2</v>
      </c>
      <c r="T24" s="485" t="n">
        <f aca="false">IF(ISERROR(S24*J24),0,S24*J24)</f>
        <v>12</v>
      </c>
      <c r="U24" s="485" t="n">
        <f aca="false">IF(ISERROR(S24*J24*K24),0,S24*J24*K24)</f>
        <v>12</v>
      </c>
      <c r="V24" s="501" t="n">
        <f aca="false">IF(ISERROR(S24*K24),0,S24*K24)</f>
        <v>2</v>
      </c>
      <c r="W24" s="502"/>
      <c r="X24" s="503"/>
      <c r="Y24" s="488" t="str">
        <f aca="false">IF(AND(ISNUMBER(F24),OR(A24="",A24="!!!!!!")),"!!!!!!",IF(A24="new.cod","NEWCOD",IF(AND((Z24=""),ISTEXT(A24),A24&lt;&gt;"!!!!!!"),A24,IF(Z24="","",INDEX('liste reference'!$A$6:$A$1174,Z24)))))</f>
        <v>CLASPX</v>
      </c>
      <c r="Z24" s="470" t="n">
        <f aca="false">IF(ISERROR(MATCH(A24,'liste reference'!$A$6:$A$1174,0)),IF(ISERROR(MATCH(A24,'liste reference'!$B$6:$B$1174,0)),"",(MATCH(A24,'liste reference'!$B$6:$B$1174,0))),(MATCH(A24,'liste reference'!$A$6:$A$1174,0)))</f>
        <v>35</v>
      </c>
    </row>
    <row r="25" customFormat="false" ht="12.75" hidden="false" customHeight="false" outlineLevel="0" collapsed="false">
      <c r="A25" s="489" t="s">
        <v>187</v>
      </c>
      <c r="B25" s="490"/>
      <c r="C25" s="491" t="n">
        <v>0.01</v>
      </c>
      <c r="D25" s="492" t="str">
        <f aca="false">IF(ISERROR(VLOOKUP($A25,'liste reference'!$A$6:$B$1174,2,0)),IF(ISERROR(VLOOKUP($A25,'liste reference'!$B$6:$B$1174,1,0)),"",VLOOKUP($A25,'liste reference'!$B$6:$B$1174,1,0)),VLOOKUP($A25,'liste reference'!$A$6:$B$1174,2,0))</f>
        <v>Heribaudiella sp.</v>
      </c>
      <c r="E25" s="493" t="e">
        <f aca="false">IF(D25="",0,VLOOKUP(D25,D$22:D24,1,0))</f>
        <v>#N/A</v>
      </c>
      <c r="F25" s="494" t="n">
        <f aca="false">IF(AND(OR(A25="",A25="!!!!!!"),B25="",C25=""),"",IF(OR(AND(B25="",C25=""),ISERROR(C25+B25)),"!!!",($B25*$B$7+$C25*$C$7)/100))</f>
        <v>0.0045</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str">
        <f aca="false">IF(ISNUMBER($H25),IF(ISERROR(VLOOKUP($A25,'liste reference'!$A$6:$Q$1174,6,0)),IF(ISERROR(VLOOKUP($A25,'liste reference'!$B$6:$Q$1174,5,0)),"nu",VLOOKUP($A25,'liste reference'!$B$6:$Q$1174,5,0)),VLOOKUP($A25,'liste reference'!$A$6:$Q$1174,6,0)),"nu")</f>
        <v>nc</v>
      </c>
      <c r="K25" s="497" t="str">
        <f aca="false">IF(ISNUMBER($H25),IF(ISERROR(VLOOKUP($A25,'liste reference'!$A$6:$Q$1174,7,0)),IF(ISERROR(VLOOKUP($A25,'liste reference'!$B$6:$Q$1174,6,0)),"nu",VLOOKUP($A25,'liste reference'!$B$6:$Q$1174,6,0)),VLOOKUP($A25,'liste reference'!$A$6:$Q$1174,7,0)),"nu")</f>
        <v>nc</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Heribaudiella sp.</v>
      </c>
      <c r="M25" s="498"/>
      <c r="N25" s="498"/>
      <c r="O25" s="498"/>
      <c r="P25" s="499" t="s">
        <v>3443</v>
      </c>
      <c r="Q25" s="500" t="n">
        <f aca="false">IF(OR($A25="NEWCOD",$A25="!!!!!!"),IF(X25="","NoCod",X25),IF($A25="","",IF(ISERROR(VLOOKUP($A25,'liste reference'!$A$6:$H$1174,8,0)),IF(ISERROR(VLOOKUP($A25,'liste reference'!$B$6:$H$1174,7,0)),"",VLOOKUP($A25,'liste reference'!$B$6:$H$1174,7,0)),VLOOKUP($A25,'liste reference'!$A$6:$H$1174,8,0))))</f>
        <v>6196</v>
      </c>
      <c r="R25" s="484" t="n">
        <f aca="false">IF(ISTEXT(H25),"",(B25*$B$7/100)+(C25*$C$7/100))</f>
        <v>0.0045</v>
      </c>
      <c r="S25" s="485" t="n">
        <f aca="false">IF(OR(ISTEXT(H25),R25=0),"",IF(R25&lt;0.1,1,IF(R25&lt;1,2,IF(R25&lt;10,3,IF(R25&lt;50,4,IF(R25&gt;=50,5,""))))))</f>
        <v>1</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HERSPX</v>
      </c>
      <c r="Z25" s="470" t="n">
        <f aca="false">IF(ISERROR(MATCH(A25,'liste reference'!$A$6:$A$1174,0)),IF(ISERROR(MATCH(A25,'liste reference'!$B$6:$B$1174,0)),"",(MATCH(A25,'liste reference'!$B$6:$B$1174,0))),(MATCH(A25,'liste reference'!$A$6:$A$1174,0)))</f>
        <v>51</v>
      </c>
    </row>
    <row r="26" customFormat="false" ht="12.75" hidden="false" customHeight="false" outlineLevel="0" collapsed="false">
      <c r="A26" s="489" t="s">
        <v>228</v>
      </c>
      <c r="B26" s="490"/>
      <c r="C26" s="491" t="n">
        <v>0.125</v>
      </c>
      <c r="D26" s="492" t="str">
        <f aca="false">IF(ISERROR(VLOOKUP($A26,'liste reference'!$A$6:$B$1174,2,0)),IF(ISERROR(VLOOKUP($A26,'liste reference'!$B$6:$B$1174,1,0)),"",VLOOKUP($A26,'liste reference'!$B$6:$B$1174,1,0)),VLOOKUP($A26,'liste reference'!$A$6:$B$1174,2,0))</f>
        <v>Melosira sp.</v>
      </c>
      <c r="E26" s="493" t="e">
        <f aca="false">IF(D26="",0,VLOOKUP(D26,D$22:D25,1,0))</f>
        <v>#N/A</v>
      </c>
      <c r="F26" s="494" t="n">
        <f aca="false">IF(AND(OR(A26="",A26="!!!!!!"),B26="",C26=""),"",IF(OR(AND(B26="",C26=""),ISERROR(C26+B26)),"!!!",($B26*$B$7+$C26*$C$7)/100))</f>
        <v>0.05625</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10</v>
      </c>
      <c r="K26" s="497" t="n">
        <f aca="false">IF(ISNUMBER($H26),IF(ISERROR(VLOOKUP($A26,'liste reference'!$A$6:$Q$1174,7,0)),IF(ISERROR(VLOOKUP($A26,'liste reference'!$B$6:$Q$1174,6,0)),"nu",VLOOKUP($A26,'liste reference'!$B$6:$Q$1174,6,0)),VLOOKUP($A26,'liste reference'!$A$6:$Q$1174,7,0)),"nu")</f>
        <v>1</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Melosira sp.</v>
      </c>
      <c r="M26" s="498"/>
      <c r="N26" s="498"/>
      <c r="O26" s="498"/>
      <c r="P26" s="499" t="s">
        <v>3443</v>
      </c>
      <c r="Q26" s="500" t="n">
        <f aca="false">IF(OR($A26="NEWCOD",$A26="!!!!!!"),IF(X26="","NoCod",X26),IF($A26="","",IF(ISERROR(VLOOKUP($A26,'liste reference'!$A$6:$H$1174,8,0)),IF(ISERROR(VLOOKUP($A26,'liste reference'!$B$6:$H$1174,7,0)),"",VLOOKUP($A26,'liste reference'!$B$6:$H$1174,7,0)),VLOOKUP($A26,'liste reference'!$A$6:$H$1174,8,0))))</f>
        <v>8714</v>
      </c>
      <c r="R26" s="484" t="n">
        <f aca="false">IF(ISTEXT(H26),"",(B26*$B$7/100)+(C26*$C$7/100))</f>
        <v>0.05625</v>
      </c>
      <c r="S26" s="485" t="n">
        <f aca="false">IF(OR(ISTEXT(H26),R26=0),"",IF(R26&lt;0.1,1,IF(R26&lt;1,2,IF(R26&lt;10,3,IF(R26&lt;50,4,IF(R26&gt;=50,5,""))))))</f>
        <v>1</v>
      </c>
      <c r="T26" s="485" t="n">
        <f aca="false">IF(ISERROR(S26*J26),0,S26*J26)</f>
        <v>10</v>
      </c>
      <c r="U26" s="485" t="n">
        <f aca="false">IF(ISERROR(S26*J26*K26),0,S26*J26*K26)</f>
        <v>10</v>
      </c>
      <c r="V26" s="501" t="n">
        <f aca="false">IF(ISERROR(S26*K26),0,S26*K26)</f>
        <v>1</v>
      </c>
      <c r="W26" s="502"/>
      <c r="X26" s="503"/>
      <c r="Y26" s="488" t="str">
        <f aca="false">IF(AND(ISNUMBER(F26),OR(A26="",A26="!!!!!!")),"!!!!!!",IF(A26="new.cod","NEWCOD",IF(AND((Z26=""),ISTEXT(A26),A26&lt;&gt;"!!!!!!"),A26,IF(Z26="","",INDEX('liste reference'!$A$6:$A$1174,Z26)))))</f>
        <v>MELSPX</v>
      </c>
      <c r="Z26" s="470" t="n">
        <f aca="false">IF(ISERROR(MATCH(A26,'liste reference'!$A$6:$A$1174,0)),IF(ISERROR(MATCH(A26,'liste reference'!$B$6:$B$1174,0)),"",(MATCH(A26,'liste reference'!$B$6:$B$1174,0))),(MATCH(A26,'liste reference'!$A$6:$A$1174,0)))</f>
        <v>62</v>
      </c>
    </row>
    <row r="27" customFormat="false" ht="12.75" hidden="false" customHeight="false" outlineLevel="0" collapsed="false">
      <c r="A27" s="489" t="s">
        <v>239</v>
      </c>
      <c r="B27" s="490"/>
      <c r="C27" s="491" t="n">
        <v>0.025</v>
      </c>
      <c r="D27" s="492" t="str">
        <f aca="false">IF(ISERROR(VLOOKUP($A27,'liste reference'!$A$6:$B$1174,2,0)),IF(ISERROR(VLOOKUP($A27,'liste reference'!$B$6:$B$1174,1,0)),"",VLOOKUP($A27,'liste reference'!$B$6:$B$1174,1,0)),VLOOKUP($A27,'liste reference'!$A$6:$B$1174,2,0))</f>
        <v>Microspora sp.</v>
      </c>
      <c r="E27" s="493" t="e">
        <f aca="false">IF(D27="",0,VLOOKUP(D27,D$22:D26,1,0))</f>
        <v>#N/A</v>
      </c>
      <c r="F27" s="494" t="n">
        <f aca="false">IF(AND(OR(A27="",A27="!!!!!!"),B27="",C27=""),"",IF(OR(AND(B27="",C27=""),ISERROR(C27+B27)),"!!!",($B27*$B$7+$C27*$C$7)/100))</f>
        <v>0.01125</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12</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Microspora sp.</v>
      </c>
      <c r="M27" s="498"/>
      <c r="N27" s="498"/>
      <c r="O27" s="498"/>
      <c r="P27" s="499" t="s">
        <v>3443</v>
      </c>
      <c r="Q27" s="500" t="n">
        <f aca="false">IF(OR($A27="NEWCOD",$A27="!!!!!!"),IF(X27="","NoCod",X27),IF($A27="","",IF(ISERROR(VLOOKUP($A27,'liste reference'!$A$6:$H$1174,8,0)),IF(ISERROR(VLOOKUP($A27,'liste reference'!$B$6:$H$1174,7,0)),"",VLOOKUP($A27,'liste reference'!$B$6:$H$1174,7,0)),VLOOKUP($A27,'liste reference'!$A$6:$H$1174,8,0))))</f>
        <v>1132</v>
      </c>
      <c r="R27" s="484" t="n">
        <f aca="false">IF(ISTEXT(H27),"",(B27*$B$7/100)+(C27*$C$7/100))</f>
        <v>0.01125</v>
      </c>
      <c r="S27" s="485" t="n">
        <f aca="false">IF(OR(ISTEXT(H27),R27=0),"",IF(R27&lt;0.1,1,IF(R27&lt;1,2,IF(R27&lt;10,3,IF(R27&lt;50,4,IF(R27&gt;=50,5,""))))))</f>
        <v>1</v>
      </c>
      <c r="T27" s="485" t="n">
        <f aca="false">IF(ISERROR(S27*J27),0,S27*J27)</f>
        <v>12</v>
      </c>
      <c r="U27" s="485" t="n">
        <f aca="false">IF(ISERROR(S27*J27*K27),0,S27*J27*K27)</f>
        <v>24</v>
      </c>
      <c r="V27" s="501" t="n">
        <f aca="false">IF(ISERROR(S27*K27),0,S27*K27)</f>
        <v>2</v>
      </c>
      <c r="W27" s="502"/>
      <c r="X27" s="503"/>
      <c r="Y27" s="488" t="str">
        <f aca="false">IF(AND(ISNUMBER(F27),OR(A27="",A27="!!!!!!")),"!!!!!!",IF(A27="new.cod","NEWCOD",IF(AND((Z27=""),ISTEXT(A27),A27&lt;&gt;"!!!!!!"),A27,IF(Z27="","",INDEX('liste reference'!$A$6:$A$1174,Z27)))))</f>
        <v>MICSPX</v>
      </c>
      <c r="Z27" s="470" t="n">
        <f aca="false">IF(ISERROR(MATCH(A27,'liste reference'!$A$6:$A$1174,0)),IF(ISERROR(MATCH(A27,'liste reference'!$B$6:$B$1174,0)),"",(MATCH(A27,'liste reference'!$B$6:$B$1174,0))),(MATCH(A27,'liste reference'!$A$6:$A$1174,0)))</f>
        <v>66</v>
      </c>
    </row>
    <row r="28" customFormat="false" ht="12.75" hidden="false" customHeight="false" outlineLevel="0" collapsed="false">
      <c r="A28" s="489" t="s">
        <v>343</v>
      </c>
      <c r="B28" s="490" t="n">
        <v>0.1</v>
      </c>
      <c r="C28" s="491" t="n">
        <v>0.586</v>
      </c>
      <c r="D28" s="492" t="str">
        <f aca="false">IF(ISERROR(VLOOKUP($A28,'liste reference'!$A$6:$B$1174,2,0)),IF(ISERROR(VLOOKUP($A28,'liste reference'!$B$6:$B$1174,1,0)),"",VLOOKUP($A28,'liste reference'!$B$6:$B$1174,1,0)),VLOOKUP($A28,'liste reference'!$A$6:$B$1174,2,0))</f>
        <v>Spirogyra sp.</v>
      </c>
      <c r="E28" s="493" t="e">
        <f aca="false">IF(D28="",0,VLOOKUP(D28,D$22:D27,1,0))</f>
        <v>#N/A</v>
      </c>
      <c r="F28" s="494" t="n">
        <f aca="false">IF(AND(OR(A28="",A28="!!!!!!"),B28="",C28=""),"",IF(OR(AND(B28="",C28=""),ISERROR(C28+B28)),"!!!",($B28*$B$7+$C28*$C$7)/100))</f>
        <v>0.3187</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10</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Spirogyra sp.</v>
      </c>
      <c r="M28" s="498"/>
      <c r="N28" s="498"/>
      <c r="O28" s="498"/>
      <c r="P28" s="499" t="s">
        <v>3443</v>
      </c>
      <c r="Q28" s="500" t="n">
        <f aca="false">IF(OR($A28="NEWCOD",$A28="!!!!!!"),IF(X28="","NoCod",X28),IF($A28="","",IF(ISERROR(VLOOKUP($A28,'liste reference'!$A$6:$H$1174,8,0)),IF(ISERROR(VLOOKUP($A28,'liste reference'!$B$6:$H$1174,7,0)),"",VLOOKUP($A28,'liste reference'!$B$6:$H$1174,7,0)),VLOOKUP($A28,'liste reference'!$A$6:$H$1174,8,0))))</f>
        <v>1147</v>
      </c>
      <c r="R28" s="484" t="n">
        <f aca="false">IF(ISTEXT(H28),"",(B28*$B$7/100)+(C28*$C$7/100))</f>
        <v>0.3187</v>
      </c>
      <c r="S28" s="485" t="n">
        <f aca="false">IF(OR(ISTEXT(H28),R28=0),"",IF(R28&lt;0.1,1,IF(R28&lt;1,2,IF(R28&lt;10,3,IF(R28&lt;50,4,IF(R28&gt;=50,5,""))))))</f>
        <v>2</v>
      </c>
      <c r="T28" s="485" t="n">
        <f aca="false">IF(ISERROR(S28*J28),0,S28*J28)</f>
        <v>20</v>
      </c>
      <c r="U28" s="485" t="n">
        <f aca="false">IF(ISERROR(S28*J28*K28),0,S28*J28*K28)</f>
        <v>20</v>
      </c>
      <c r="V28" s="501" t="n">
        <f aca="false">IF(ISERROR(S28*K28),0,S28*K28)</f>
        <v>2</v>
      </c>
      <c r="W28" s="502"/>
      <c r="X28" s="503"/>
      <c r="Y28" s="488" t="str">
        <f aca="false">IF(AND(ISNUMBER(F28),OR(A28="",A28="!!!!!!")),"!!!!!!",IF(A28="new.cod","NEWCOD",IF(AND((Z28=""),ISTEXT(A28),A28&lt;&gt;"!!!!!!"),A28,IF(Z28="","",INDEX('liste reference'!$A$6:$A$1174,Z28)))))</f>
        <v>SPISPX</v>
      </c>
      <c r="Z28" s="470" t="n">
        <f aca="false">IF(ISERROR(MATCH(A28,'liste reference'!$A$6:$A$1174,0)),IF(ISERROR(MATCH(A28,'liste reference'!$B$6:$B$1174,0)),"",(MATCH(A28,'liste reference'!$B$6:$B$1174,0))),(MATCH(A28,'liste reference'!$A$6:$A$1174,0)))</f>
        <v>102</v>
      </c>
    </row>
    <row r="29" customFormat="false" ht="12.75" hidden="false" customHeight="false" outlineLevel="0" collapsed="false">
      <c r="A29" s="489" t="s">
        <v>382</v>
      </c>
      <c r="B29" s="490"/>
      <c r="C29" s="491" t="n">
        <v>0.025</v>
      </c>
      <c r="D29" s="492" t="str">
        <f aca="false">IF(ISERROR(VLOOKUP($A29,'liste reference'!$A$6:$B$1174,2,0)),IF(ISERROR(VLOOKUP($A29,'liste reference'!$B$6:$B$1174,1,0)),"",VLOOKUP($A29,'liste reference'!$B$6:$B$1174,1,0)),VLOOKUP($A29,'liste reference'!$A$6:$B$1174,2,0))</f>
        <v>Tribonema sp.</v>
      </c>
      <c r="E29" s="493" t="e">
        <f aca="false">IF(D29="",0,VLOOKUP(D29,D$22:D28,1,0))</f>
        <v>#N/A</v>
      </c>
      <c r="F29" s="494" t="n">
        <f aca="false">IF(AND(OR(A29="",A29="!!!!!!"),B29="",C29=""),"",IF(OR(AND(B29="",C29=""),ISERROR(C29+B29)),"!!!",($B29*$B$7+$C29*$C$7)/100))</f>
        <v>0.01125</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11</v>
      </c>
      <c r="K29" s="497" t="n">
        <f aca="false">IF(ISNUMBER($H29),IF(ISERROR(VLOOKUP($A29,'liste reference'!$A$6:$Q$1174,7,0)),IF(ISERROR(VLOOKUP($A29,'liste reference'!$B$6:$Q$1174,6,0)),"nu",VLOOKUP($A29,'liste reference'!$B$6:$Q$1174,6,0)),VLOOKUP($A29,'liste reference'!$A$6:$Q$1174,7,0)),"nu")</f>
        <v>2</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Tribonema sp.</v>
      </c>
      <c r="M29" s="498"/>
      <c r="N29" s="498"/>
      <c r="O29" s="498"/>
      <c r="P29" s="499" t="s">
        <v>3443</v>
      </c>
      <c r="Q29" s="500" t="n">
        <f aca="false">IF(OR($A29="NEWCOD",$A29="!!!!!!"),IF(X29="","NoCod",X29),IF($A29="","",IF(ISERROR(VLOOKUP($A29,'liste reference'!$A$6:$H$1174,8,0)),IF(ISERROR(VLOOKUP($A29,'liste reference'!$B$6:$H$1174,7,0)),"",VLOOKUP($A29,'liste reference'!$B$6:$H$1174,7,0)),VLOOKUP($A29,'liste reference'!$A$6:$H$1174,8,0))))</f>
        <v>1167</v>
      </c>
      <c r="R29" s="484" t="n">
        <f aca="false">IF(ISTEXT(H29),"",(B29*$B$7/100)+(C29*$C$7/100))</f>
        <v>0.01125</v>
      </c>
      <c r="S29" s="485" t="n">
        <f aca="false">IF(OR(ISTEXT(H29),R29=0),"",IF(R29&lt;0.1,1,IF(R29&lt;1,2,IF(R29&lt;10,3,IF(R29&lt;50,4,IF(R29&gt;=50,5,""))))))</f>
        <v>1</v>
      </c>
      <c r="T29" s="485" t="n">
        <f aca="false">IF(ISERROR(S29*J29),0,S29*J29)</f>
        <v>11</v>
      </c>
      <c r="U29" s="485" t="n">
        <f aca="false">IF(ISERROR(S29*J29*K29),0,S29*J29*K29)</f>
        <v>22</v>
      </c>
      <c r="V29" s="501" t="n">
        <f aca="false">IF(ISERROR(S29*K29),0,S29*K29)</f>
        <v>2</v>
      </c>
      <c r="W29" s="502"/>
      <c r="X29" s="503"/>
      <c r="Y29" s="488" t="str">
        <f aca="false">IF(AND(ISNUMBER(F29),OR(A29="",A29="!!!!!!")),"!!!!!!",IF(A29="new.cod","NEWCOD",IF(AND((Z29=""),ISTEXT(A29),A29&lt;&gt;"!!!!!!"),A29,IF(Z29="","",INDEX('liste reference'!$A$6:$A$1174,Z29)))))</f>
        <v>TRISPX</v>
      </c>
      <c r="Z29" s="470" t="n">
        <f aca="false">IF(ISERROR(MATCH(A29,'liste reference'!$A$6:$A$1174,0)),IF(ISERROR(MATCH(A29,'liste reference'!$B$6:$B$1174,0)),"",(MATCH(A29,'liste reference'!$B$6:$B$1174,0))),(MATCH(A29,'liste reference'!$A$6:$A$1174,0)))</f>
        <v>115</v>
      </c>
    </row>
    <row r="30" customFormat="false" ht="12.75" hidden="false" customHeight="false" outlineLevel="0" collapsed="false">
      <c r="A30" s="489" t="s">
        <v>395</v>
      </c>
      <c r="B30" s="490"/>
      <c r="C30" s="491" t="n">
        <v>0.586</v>
      </c>
      <c r="D30" s="492" t="str">
        <f aca="false">IF(ISERROR(VLOOKUP($A30,'liste reference'!$A$6:$B$1174,2,0)),IF(ISERROR(VLOOKUP($A30,'liste reference'!$B$6:$B$1174,1,0)),"",VLOOKUP($A30,'liste reference'!$B$6:$B$1174,1,0)),VLOOKUP($A30,'liste reference'!$A$6:$B$1174,2,0))</f>
        <v>Vaucheria sp.</v>
      </c>
      <c r="E30" s="493" t="e">
        <f aca="false">IF(D30="",0,VLOOKUP(D30,D$22:D29,1,0))</f>
        <v>#N/A</v>
      </c>
      <c r="F30" s="494" t="n">
        <f aca="false">IF(AND(OR(A30="",A30="!!!!!!"),B30="",C30=""),"",IF(OR(AND(B30="",C30=""),ISERROR(C30+B30)),"!!!",($B30*$B$7+$C30*$C$7)/100))</f>
        <v>0.2637</v>
      </c>
      <c r="G30" s="495" t="str">
        <f aca="false">IF(A30="","",IF(ISERROR(VLOOKUP($A30,'liste reference'!$A$6:$Q$1174,9,0)),IF(ISERROR(VLOOKUP($A30,'liste reference'!$B$6:$Q$1174,8,0)),"    -",VLOOKUP($A30,'liste reference'!$B$6:$Q$1174,8,0)),VLOOKUP($A30,'liste reference'!$A$6:$Q$1174,9,0)))</f>
        <v>ALG</v>
      </c>
      <c r="H30" s="496" t="n">
        <f aca="false">IF(A30="","x",IF(ISERROR(VLOOKUP($A30,'liste reference'!$A$6:$Q$1174,10,0)),IF(ISERROR(VLOOKUP($A30,'liste reference'!$B$6:$Q$1174,9,0)),"x",VLOOKUP($A30,'liste reference'!$B$6:$Q$1174,9,0)),VLOOKUP($A30,'liste reference'!$A$6:$Q$1174,10,0)))</f>
        <v>2</v>
      </c>
      <c r="I30" s="281" t="n">
        <f aca="false">IF(A30="","",1)</f>
        <v>1</v>
      </c>
      <c r="J30" s="497" t="n">
        <f aca="false">IF(ISNUMBER($H30),IF(ISERROR(VLOOKUP($A30,'liste reference'!$A$6:$Q$1174,6,0)),IF(ISERROR(VLOOKUP($A30,'liste reference'!$B$6:$Q$1174,5,0)),"nu",VLOOKUP($A30,'liste reference'!$B$6:$Q$1174,5,0)),VLOOKUP($A30,'liste reference'!$A$6:$Q$1174,6,0)),"nu")</f>
        <v>4</v>
      </c>
      <c r="K30" s="497" t="n">
        <f aca="false">IF(ISNUMBER($H30),IF(ISERROR(VLOOKUP($A30,'liste reference'!$A$6:$Q$1174,7,0)),IF(ISERROR(VLOOKUP($A30,'liste reference'!$B$6:$Q$1174,6,0)),"nu",VLOOKUP($A30,'liste reference'!$B$6:$Q$1174,6,0)),VLOOKUP($A30,'liste reference'!$A$6:$Q$1174,7,0)),"nu")</f>
        <v>1</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Vaucheria sp.</v>
      </c>
      <c r="M30" s="498"/>
      <c r="N30" s="498"/>
      <c r="O30" s="498"/>
      <c r="P30" s="499" t="s">
        <v>3443</v>
      </c>
      <c r="Q30" s="500" t="n">
        <f aca="false">IF(OR($A30="NEWCOD",$A30="!!!!!!"),IF(X30="","NoCod",X30),IF($A30="","",IF(ISERROR(VLOOKUP($A30,'liste reference'!$A$6:$H$1174,8,0)),IF(ISERROR(VLOOKUP($A30,'liste reference'!$B$6:$H$1174,7,0)),"",VLOOKUP($A30,'liste reference'!$B$6:$H$1174,7,0)),VLOOKUP($A30,'liste reference'!$A$6:$H$1174,8,0))))</f>
        <v>1169</v>
      </c>
      <c r="R30" s="484" t="n">
        <f aca="false">IF(ISTEXT(H30),"",(B30*$B$7/100)+(C30*$C$7/100))</f>
        <v>0.2637</v>
      </c>
      <c r="S30" s="485" t="n">
        <f aca="false">IF(OR(ISTEXT(H30),R30=0),"",IF(R30&lt;0.1,1,IF(R30&lt;1,2,IF(R30&lt;10,3,IF(R30&lt;50,4,IF(R30&gt;=50,5,""))))))</f>
        <v>2</v>
      </c>
      <c r="T30" s="485" t="n">
        <f aca="false">IF(ISERROR(S30*J30),0,S30*J30)</f>
        <v>8</v>
      </c>
      <c r="U30" s="485" t="n">
        <f aca="false">IF(ISERROR(S30*J30*K30),0,S30*J30*K30)</f>
        <v>8</v>
      </c>
      <c r="V30" s="501" t="n">
        <f aca="false">IF(ISERROR(S30*K30),0,S30*K30)</f>
        <v>2</v>
      </c>
      <c r="W30" s="502"/>
      <c r="X30" s="503"/>
      <c r="Y30" s="488" t="str">
        <f aca="false">IF(AND(ISNUMBER(F30),OR(A30="",A30="!!!!!!")),"!!!!!!",IF(A30="new.cod","NEWCOD",IF(AND((Z30=""),ISTEXT(A30),A30&lt;&gt;"!!!!!!"),A30,IF(Z30="","",INDEX('liste reference'!$A$6:$A$1174,Z30)))))</f>
        <v>VAUSPX</v>
      </c>
      <c r="Z30" s="470" t="n">
        <f aca="false">IF(ISERROR(MATCH(A30,'liste reference'!$A$6:$A$1174,0)),IF(ISERROR(MATCH(A30,'liste reference'!$B$6:$B$1174,0)),"",(MATCH(A30,'liste reference'!$B$6:$B$1174,0))),(MATCH(A30,'liste reference'!$A$6:$A$1174,0)))</f>
        <v>118</v>
      </c>
    </row>
    <row r="31" customFormat="false" ht="12.75" hidden="false" customHeight="false" outlineLevel="0" collapsed="false">
      <c r="A31" s="489" t="s">
        <v>398</v>
      </c>
      <c r="B31" s="490"/>
      <c r="C31" s="491" t="n">
        <v>0.036</v>
      </c>
      <c r="D31" s="492" t="str">
        <f aca="false">IF(ISERROR(VLOOKUP($A31,'liste reference'!$A$6:$B$1174,2,0)),IF(ISERROR(VLOOKUP($A31,'liste reference'!$B$6:$B$1174,1,0)),"",VLOOKUP($A31,'liste reference'!$B$6:$B$1174,1,0)),VLOOKUP($A31,'liste reference'!$A$6:$B$1174,2,0))</f>
        <v>Zygnema sp.</v>
      </c>
      <c r="E31" s="493" t="e">
        <f aca="false">IF(D31="",0,VLOOKUP(D31,D$22:D30,1,0))</f>
        <v>#N/A</v>
      </c>
      <c r="F31" s="494" t="n">
        <f aca="false">IF(AND(OR(A31="",A31="!!!!!!"),B31="",C31=""),"",IF(OR(AND(B31="",C31=""),ISERROR(C31+B31)),"!!!",($B31*$B$7+$C31*$C$7)/100))</f>
        <v>0.0162</v>
      </c>
      <c r="G31" s="495" t="str">
        <f aca="false">IF(A31="","",IF(ISERROR(VLOOKUP($A31,'liste reference'!$A$6:$Q$1174,9,0)),IF(ISERROR(VLOOKUP($A31,'liste reference'!$B$6:$Q$1174,8,0)),"    -",VLOOKUP($A31,'liste reference'!$B$6:$Q$1174,8,0)),VLOOKUP($A31,'liste reference'!$A$6:$Q$1174,9,0)))</f>
        <v>ALG</v>
      </c>
      <c r="H31" s="496" t="n">
        <f aca="false">IF(A31="","x",IF(ISERROR(VLOOKUP($A31,'liste reference'!$A$6:$Q$1174,10,0)),IF(ISERROR(VLOOKUP($A31,'liste reference'!$B$6:$Q$1174,9,0)),"x",VLOOKUP($A31,'liste reference'!$B$6:$Q$1174,9,0)),VLOOKUP($A31,'liste reference'!$A$6:$Q$1174,10,0)))</f>
        <v>2</v>
      </c>
      <c r="I31" s="281" t="n">
        <f aca="false">IF(A31="","",1)</f>
        <v>1</v>
      </c>
      <c r="J31" s="497" t="n">
        <f aca="false">IF(ISNUMBER($H31),IF(ISERROR(VLOOKUP($A31,'liste reference'!$A$6:$Q$1174,6,0)),IF(ISERROR(VLOOKUP($A31,'liste reference'!$B$6:$Q$1174,5,0)),"nu",VLOOKUP($A31,'liste reference'!$B$6:$Q$1174,5,0)),VLOOKUP($A31,'liste reference'!$A$6:$Q$1174,6,0)),"nu")</f>
        <v>13</v>
      </c>
      <c r="K31" s="497" t="n">
        <f aca="false">IF(ISNUMBER($H31),IF(ISERROR(VLOOKUP($A31,'liste reference'!$A$6:$Q$1174,7,0)),IF(ISERROR(VLOOKUP($A31,'liste reference'!$B$6:$Q$1174,6,0)),"nu",VLOOKUP($A31,'liste reference'!$B$6:$Q$1174,6,0)),VLOOKUP($A31,'liste reference'!$A$6:$Q$1174,7,0)),"nu")</f>
        <v>3</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Zygnema sp.</v>
      </c>
      <c r="M31" s="498"/>
      <c r="N31" s="498"/>
      <c r="O31" s="498"/>
      <c r="P31" s="499" t="s">
        <v>3443</v>
      </c>
      <c r="Q31" s="500" t="n">
        <f aca="false">IF(OR($A31="NEWCOD",$A31="!!!!!!"),IF(X31="","NoCod",X31),IF($A31="","",IF(ISERROR(VLOOKUP($A31,'liste reference'!$A$6:$H$1174,8,0)),IF(ISERROR(VLOOKUP($A31,'liste reference'!$B$6:$H$1174,7,0)),"",VLOOKUP($A31,'liste reference'!$B$6:$H$1174,7,0)),VLOOKUP($A31,'liste reference'!$A$6:$H$1174,8,0))))</f>
        <v>1148</v>
      </c>
      <c r="R31" s="484" t="n">
        <f aca="false">IF(ISTEXT(H31),"",(B31*$B$7/100)+(C31*$C$7/100))</f>
        <v>0.0162</v>
      </c>
      <c r="S31" s="485" t="n">
        <f aca="false">IF(OR(ISTEXT(H31),R31=0),"",IF(R31&lt;0.1,1,IF(R31&lt;1,2,IF(R31&lt;10,3,IF(R31&lt;50,4,IF(R31&gt;=50,5,""))))))</f>
        <v>1</v>
      </c>
      <c r="T31" s="485" t="n">
        <f aca="false">IF(ISERROR(S31*J31),0,S31*J31)</f>
        <v>13</v>
      </c>
      <c r="U31" s="485" t="n">
        <f aca="false">IF(ISERROR(S31*J31*K31),0,S31*J31*K31)</f>
        <v>39</v>
      </c>
      <c r="V31" s="501" t="n">
        <f aca="false">IF(ISERROR(S31*K31),0,S31*K31)</f>
        <v>3</v>
      </c>
      <c r="W31" s="502"/>
      <c r="X31" s="503"/>
      <c r="Y31" s="488" t="str">
        <f aca="false">IF(AND(ISNUMBER(F31),OR(A31="",A31="!!!!!!")),"!!!!!!",IF(A31="new.cod","NEWCOD",IF(AND((Z31=""),ISTEXT(A31),A31&lt;&gt;"!!!!!!"),A31,IF(Z31="","",INDEX('liste reference'!$A$6:$A$1174,Z31)))))</f>
        <v>ZYGSPX</v>
      </c>
      <c r="Z31" s="470" t="n">
        <f aca="false">IF(ISERROR(MATCH(A31,'liste reference'!$A$6:$A$1174,0)),IF(ISERROR(MATCH(A31,'liste reference'!$B$6:$B$1174,0)),"",(MATCH(A31,'liste reference'!$B$6:$B$1174,0))),(MATCH(A31,'liste reference'!$A$6:$A$1174,0)))</f>
        <v>119</v>
      </c>
    </row>
    <row r="32" customFormat="false" ht="12.75" hidden="false" customHeight="false" outlineLevel="0" collapsed="false">
      <c r="A32" s="489" t="s">
        <v>2174</v>
      </c>
      <c r="B32" s="490" t="n">
        <v>0.01</v>
      </c>
      <c r="C32" s="491" t="n">
        <v>0.01</v>
      </c>
      <c r="D32" s="492" t="str">
        <f aca="false">IF(ISERROR(VLOOKUP($A32,'liste reference'!$A$6:$B$1174,2,0)),IF(ISERROR(VLOOKUP($A32,'liste reference'!$B$6:$B$1174,1,0)),"",VLOOKUP($A32,'liste reference'!$B$6:$B$1174,1,0)),VLOOKUP($A32,'liste reference'!$A$6:$B$1174,2,0))</f>
        <v>Phragmites australis</v>
      </c>
      <c r="E32" s="493" t="e">
        <f aca="false">IF(D32="",0,VLOOKUP(D32,D$22:D31,1,0))</f>
        <v>#N/A</v>
      </c>
      <c r="F32" s="494" t="n">
        <f aca="false">IF(AND(OR(A32="",A32="!!!!!!"),B32="",C32=""),"",IF(OR(AND(B32="",C32=""),ISERROR(C32+B32)),"!!!",($B32*$B$7+$C32*$C$7)/100))</f>
        <v>0.01</v>
      </c>
      <c r="G32" s="495" t="str">
        <f aca="false">IF(A32="","",IF(ISERROR(VLOOKUP($A32,'liste reference'!$A$6:$Q$1174,9,0)),IF(ISERROR(VLOOKUP($A32,'liste reference'!$B$6:$Q$1174,8,0)),"    -",VLOOKUP($A32,'liste reference'!$B$6:$Q$1174,8,0)),VLOOKUP($A32,'liste reference'!$A$6:$Q$1174,9,0)))</f>
        <v>PHe</v>
      </c>
      <c r="H32" s="496" t="n">
        <f aca="false">IF(A32="","x",IF(ISERROR(VLOOKUP($A32,'liste reference'!$A$6:$Q$1174,10,0)),IF(ISERROR(VLOOKUP($A32,'liste reference'!$B$6:$Q$1174,9,0)),"x",VLOOKUP($A32,'liste reference'!$B$6:$Q$1174,9,0)),VLOOKUP($A32,'liste reference'!$A$6:$Q$1174,10,0)))</f>
        <v>8</v>
      </c>
      <c r="I32" s="281" t="n">
        <f aca="false">IF(A32="","",1)</f>
        <v>1</v>
      </c>
      <c r="J32" s="497" t="n">
        <f aca="false">IF(ISNUMBER($H32),IF(ISERROR(VLOOKUP($A32,'liste reference'!$A$6:$Q$1174,6,0)),IF(ISERROR(VLOOKUP($A32,'liste reference'!$B$6:$Q$1174,5,0)),"nu",VLOOKUP($A32,'liste reference'!$B$6:$Q$1174,5,0)),VLOOKUP($A32,'liste reference'!$A$6:$Q$1174,6,0)),"nu")</f>
        <v>9</v>
      </c>
      <c r="K32" s="497" t="n">
        <f aca="false">IF(ISNUMBER($H32),IF(ISERROR(VLOOKUP($A32,'liste reference'!$A$6:$Q$1174,7,0)),IF(ISERROR(VLOOKUP($A32,'liste reference'!$B$6:$Q$1174,6,0)),"nu",VLOOKUP($A32,'liste reference'!$B$6:$Q$1174,6,0)),VLOOKUP($A32,'liste reference'!$A$6:$Q$1174,7,0)),"nu")</f>
        <v>2</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Phragmites australis</v>
      </c>
      <c r="M32" s="498"/>
      <c r="N32" s="498"/>
      <c r="O32" s="498"/>
      <c r="P32" s="499" t="s">
        <v>3443</v>
      </c>
      <c r="Q32" s="500" t="n">
        <f aca="false">IF(OR($A32="NEWCOD",$A32="!!!!!!"),IF(X32="","NoCod",X32),IF($A32="","",IF(ISERROR(VLOOKUP($A32,'liste reference'!$A$6:$H$1174,8,0)),IF(ISERROR(VLOOKUP($A32,'liste reference'!$B$6:$H$1174,7,0)),"",VLOOKUP($A32,'liste reference'!$B$6:$H$1174,7,0)),VLOOKUP($A32,'liste reference'!$A$6:$H$1174,8,0))))</f>
        <v>1579</v>
      </c>
      <c r="R32" s="484" t="n">
        <f aca="false">IF(ISTEXT(H32),"",(B32*$B$7/100)+(C32*$C$7/100))</f>
        <v>0.01</v>
      </c>
      <c r="S32" s="485" t="n">
        <f aca="false">IF(OR(ISTEXT(H32),R32=0),"",IF(R32&lt;0.1,1,IF(R32&lt;1,2,IF(R32&lt;10,3,IF(R32&lt;50,4,IF(R32&gt;=50,5,""))))))</f>
        <v>1</v>
      </c>
      <c r="T32" s="485" t="n">
        <f aca="false">IF(ISERROR(S32*J32),0,S32*J32)</f>
        <v>9</v>
      </c>
      <c r="U32" s="485" t="n">
        <f aca="false">IF(ISERROR(S32*J32*K32),0,S32*J32*K32)</f>
        <v>18</v>
      </c>
      <c r="V32" s="501" t="n">
        <f aca="false">IF(ISERROR(S32*K32),0,S32*K32)</f>
        <v>2</v>
      </c>
      <c r="W32" s="502"/>
      <c r="X32" s="503"/>
      <c r="Y32" s="488" t="str">
        <f aca="false">IF(AND(ISNUMBER(F32),OR(A32="",A32="!!!!!!")),"!!!!!!",IF(A32="new.cod","NEWCOD",IF(AND((Z32=""),ISTEXT(A32),A32&lt;&gt;"!!!!!!"),A32,IF(Z32="","",INDEX('liste reference'!$A$6:$A$1174,Z32)))))</f>
        <v>PHRAUS</v>
      </c>
      <c r="Z32" s="470" t="n">
        <f aca="false">IF(ISERROR(MATCH(A32,'liste reference'!$A$6:$A$1174,0)),IF(ISERROR(MATCH(A32,'liste reference'!$B$6:$B$1174,0)),"",(MATCH(A32,'liste reference'!$B$6:$B$1174,0))),(MATCH(A32,'liste reference'!$A$6:$A$1174,0)))</f>
        <v>709</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3443</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3443</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3443</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3443</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3443</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3443</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3443</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3443</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3443</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3443</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3443</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3443</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3443</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3443</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3443</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3443</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3443</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3443</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3443</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3443</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3443</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3443</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3443</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3443</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3443</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3443</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3443</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3443</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3443</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3443</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3443</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3443</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3443</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3443</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3443</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3443</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3443</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3443</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3443</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3443</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3443</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3443</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3443</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3443</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3443</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3443</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3443</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3443</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3443</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3443</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1.384</v>
      </c>
      <c r="G83" s="424"/>
      <c r="H83" s="424"/>
      <c r="I83" s="424"/>
      <c r="J83" s="424"/>
      <c r="K83" s="424"/>
      <c r="L83" s="424"/>
      <c r="M83" s="485"/>
      <c r="N83" s="485"/>
      <c r="O83" s="485"/>
      <c r="P83" s="485"/>
      <c r="Q83" s="485"/>
      <c r="R83" s="485"/>
      <c r="S83" s="485"/>
      <c r="T83" s="485"/>
      <c r="U83" s="485"/>
      <c r="V83" s="485" t="n">
        <f aca="false">SUM(V23:V82)</f>
        <v>18</v>
      </c>
      <c r="W83" s="485"/>
      <c r="X83" s="523"/>
      <c r="Y83" s="523"/>
      <c r="Z83" s="524"/>
    </row>
    <row r="84" customFormat="false" ht="12.75" hidden="true" customHeight="false" outlineLevel="0" collapsed="false">
      <c r="A84" s="518" t="str">
        <f aca="false">A3</f>
        <v>Bléone</v>
      </c>
      <c r="B84" s="453" t="str">
        <f aca="false">C3</f>
        <v>Mallemoisson</v>
      </c>
      <c r="C84" s="525" t="str">
        <f aca="false">A4</f>
        <v>(Date)</v>
      </c>
      <c r="D84" s="526" t="n">
        <f aca="false">IF(OR(ISERROR(SUM($U$23:$U$82)/SUM($V$23:$V$82)),F7&lt;&gt;100),-1,SUM($U$23:$U$82)/SUM($V$23:$V$82))</f>
        <v>9.61111111111111</v>
      </c>
      <c r="E84" s="527" t="n">
        <f aca="false">O13</f>
        <v>10</v>
      </c>
      <c r="F84" s="453" t="n">
        <f aca="false">O14</f>
        <v>9</v>
      </c>
      <c r="G84" s="453" t="n">
        <f aca="false">O15</f>
        <v>4</v>
      </c>
      <c r="H84" s="453" t="n">
        <f aca="false">O16</f>
        <v>4</v>
      </c>
      <c r="I84" s="453" t="n">
        <f aca="false">O17</f>
        <v>1</v>
      </c>
      <c r="J84" s="528" t="n">
        <f aca="false">O8</f>
        <v>9.44444444444445</v>
      </c>
      <c r="K84" s="529" t="n">
        <f aca="false">O9</f>
        <v>2.67129228448251</v>
      </c>
      <c r="L84" s="530" t="n">
        <f aca="false">O10</f>
        <v>4</v>
      </c>
      <c r="M84" s="530" t="n">
        <f aca="false">O11</f>
        <v>13</v>
      </c>
      <c r="N84" s="529" t="n">
        <f aca="false">P8</f>
        <v>1.66666666666667</v>
      </c>
      <c r="O84" s="529" t="n">
        <f aca="false">P9</f>
        <v>0.666666666666667</v>
      </c>
      <c r="P84" s="530" t="n">
        <f aca="false">P10</f>
        <v>1</v>
      </c>
      <c r="Q84" s="530" t="n">
        <f aca="false">P11</f>
        <v>3</v>
      </c>
      <c r="R84" s="530" t="n">
        <f aca="false">F21</f>
        <v>1.384</v>
      </c>
      <c r="S84" s="530" t="n">
        <f aca="false">L11</f>
        <v>0</v>
      </c>
      <c r="T84" s="530" t="n">
        <f aca="false">L12</f>
        <v>9</v>
      </c>
      <c r="U84" s="530" t="n">
        <f aca="false">L13</f>
        <v>0</v>
      </c>
      <c r="V84" s="531" t="n">
        <f aca="false">L15</f>
        <v>1</v>
      </c>
      <c r="W84" s="532" t="n">
        <f aca="false">L15</f>
        <v>1</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3444</v>
      </c>
      <c r="S86" s="281"/>
      <c r="T86" s="536"/>
      <c r="U86" s="281"/>
      <c r="V86" s="281"/>
    </row>
    <row r="87" customFormat="false" ht="12.75" hidden="true" customHeight="false" outlineLevel="0" collapsed="false">
      <c r="C87" s="534"/>
      <c r="D87" s="534"/>
      <c r="E87" s="534"/>
      <c r="R87" s="281" t="s">
        <v>3445</v>
      </c>
      <c r="S87" s="281"/>
      <c r="T87" s="536" t="n">
        <f aca="false">VLOOKUP($T$91,($A$23:$U$82),20,0)</f>
        <v>13</v>
      </c>
      <c r="U87" s="281"/>
      <c r="V87" s="281"/>
    </row>
    <row r="88" customFormat="false" ht="12.75" hidden="true" customHeight="false" outlineLevel="0" collapsed="false">
      <c r="C88" s="534"/>
      <c r="D88" s="534"/>
      <c r="E88" s="534"/>
      <c r="R88" s="281" t="s">
        <v>3446</v>
      </c>
      <c r="S88" s="281"/>
      <c r="T88" s="536" t="n">
        <f aca="false">VLOOKUP($T$91,($A$23:$U$82),21,0)</f>
        <v>39</v>
      </c>
      <c r="U88" s="281"/>
      <c r="V88" s="281" t="n">
        <f aca="false">COUNTIF(V23:V82,T89)</f>
        <v>1</v>
      </c>
    </row>
    <row r="89" customFormat="false" ht="12.75" hidden="true" customHeight="false" outlineLevel="0" collapsed="false">
      <c r="C89" s="534"/>
      <c r="D89" s="534"/>
      <c r="E89" s="534"/>
      <c r="R89" s="281" t="s">
        <v>3447</v>
      </c>
      <c r="S89" s="281"/>
      <c r="T89" s="536" t="n">
        <f aca="false">MAX($V$23:$V$82)</f>
        <v>3</v>
      </c>
      <c r="U89" s="281"/>
      <c r="V89" s="0"/>
    </row>
    <row r="90" customFormat="false" ht="12.75" hidden="true" customHeight="false" outlineLevel="0" collapsed="false">
      <c r="C90" s="534"/>
      <c r="D90" s="534"/>
      <c r="E90" s="534"/>
      <c r="R90" s="281" t="s">
        <v>3448</v>
      </c>
      <c r="S90" s="281" t="s">
        <v>3449</v>
      </c>
      <c r="T90" s="537" t="n">
        <f aca="false">IF(OR(ISERROR(SUM($U$23:$U$82)/SUM($V$23:$V$82)),F7&lt;&gt;100),-1,(SUM($U$23:$U$82)-T88)/(SUM($V$23:$V$82)-T89))</f>
        <v>8.93333333333333</v>
      </c>
      <c r="U90" s="281" t="n">
        <f aca="false">IF(ISERROR(T90),0,1)</f>
        <v>1</v>
      </c>
      <c r="V90" s="0"/>
    </row>
    <row r="91" customFormat="false" ht="12.75" hidden="true" customHeight="false" outlineLevel="0" collapsed="false">
      <c r="C91" s="534"/>
      <c r="D91" s="534"/>
      <c r="E91" s="534"/>
      <c r="R91" s="485" t="s">
        <v>3450</v>
      </c>
      <c r="S91" s="485"/>
      <c r="T91" s="485" t="str">
        <f aca="false">INDEX('liste reference'!$A$6:$A$1174,$U$91)</f>
        <v>ZYGSPX</v>
      </c>
      <c r="U91" s="281" t="n">
        <f aca="false">IF(ISERROR(MATCH($T$93,'liste reference'!$A$6:$A$1174,0)),MATCH($T$93,'liste reference'!$B$6:$B$1174,0),(MATCH($T$93,'liste reference'!$A$6:$A$1174,0)))</f>
        <v>119</v>
      </c>
      <c r="V91" s="538"/>
    </row>
    <row r="92" customFormat="false" ht="12.75" hidden="true" customHeight="false" outlineLevel="0" collapsed="false">
      <c r="C92" s="534"/>
      <c r="D92" s="534"/>
      <c r="E92" s="534"/>
      <c r="R92" s="281" t="s">
        <v>3451</v>
      </c>
      <c r="S92" s="281"/>
      <c r="T92" s="281" t="n">
        <f aca="false">MATCH(T89,$V$23:$V$82,0)</f>
        <v>9</v>
      </c>
      <c r="U92" s="281"/>
    </row>
    <row r="93" customFormat="false" ht="12.75" hidden="true" customHeight="false" outlineLevel="0" collapsed="false">
      <c r="C93" s="534"/>
      <c r="D93" s="534"/>
      <c r="E93" s="534"/>
      <c r="R93" s="485" t="s">
        <v>3452</v>
      </c>
      <c r="S93" s="281"/>
      <c r="T93" s="485" t="str">
        <f aca="false">INDEX($A$23:$A$82,$T$92)</f>
        <v>ZYGSPX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3463</v>
      </c>
      <c r="B1" s="541"/>
      <c r="C1" s="541"/>
      <c r="D1" s="541"/>
      <c r="E1" s="542" t="s">
        <v>3464</v>
      </c>
      <c r="F1" s="543" t="s">
        <v>3465</v>
      </c>
      <c r="G1" s="544"/>
      <c r="H1" s="544"/>
      <c r="I1" s="545"/>
      <c r="J1" s="545"/>
      <c r="K1" s="545"/>
      <c r="L1" s="546"/>
    </row>
    <row r="2" customFormat="false" ht="15" hidden="false" customHeight="false" outlineLevel="0" collapsed="false">
      <c r="A2" s="547" t="s">
        <v>3466</v>
      </c>
      <c r="B2" s="548"/>
      <c r="C2" s="549"/>
      <c r="D2" s="549"/>
      <c r="E2" s="550"/>
      <c r="F2" s="543" t="s">
        <v>3467</v>
      </c>
      <c r="G2" s="544"/>
      <c r="H2" s="544"/>
      <c r="I2" s="545"/>
      <c r="J2" s="545"/>
      <c r="K2" s="545"/>
      <c r="L2" s="546"/>
    </row>
    <row r="3" customFormat="false" ht="15.75" hidden="false" customHeight="false" outlineLevel="0" collapsed="false">
      <c r="A3" s="547" t="s">
        <v>3468</v>
      </c>
      <c r="B3" s="548"/>
      <c r="C3" s="549"/>
      <c r="D3" s="551" t="s">
        <v>3469</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3470</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3471</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3472</v>
      </c>
      <c r="G17" s="570"/>
      <c r="H17" s="571" t="s">
        <v>3473</v>
      </c>
      <c r="I17" s="570"/>
    </row>
    <row r="18" customFormat="false" ht="15" hidden="false" customHeight="false" outlineLevel="0" collapsed="false">
      <c r="A18" s="563"/>
      <c r="B18" s="566" t="s">
        <v>2963</v>
      </c>
      <c r="C18" s="567"/>
      <c r="D18" s="568"/>
      <c r="F18" s="572" t="s">
        <v>3459</v>
      </c>
      <c r="G18" s="573"/>
      <c r="H18" s="572" t="s">
        <v>3459</v>
      </c>
      <c r="I18" s="574"/>
    </row>
    <row r="19" customFormat="false" ht="15" hidden="false" customHeight="false" outlineLevel="0" collapsed="false">
      <c r="A19" s="563"/>
      <c r="B19" s="566" t="s">
        <v>2965</v>
      </c>
      <c r="C19" s="567"/>
      <c r="D19" s="568"/>
      <c r="F19" s="575" t="s">
        <v>3474</v>
      </c>
      <c r="G19" s="8"/>
      <c r="H19" s="575" t="s">
        <v>3474</v>
      </c>
      <c r="I19" s="576"/>
    </row>
    <row r="20" customFormat="false" ht="15" hidden="false" customHeight="false" outlineLevel="0" collapsed="false">
      <c r="A20" s="563"/>
      <c r="B20" s="566" t="s">
        <v>2969</v>
      </c>
      <c r="C20" s="567"/>
      <c r="D20" s="568"/>
      <c r="F20" s="575" t="s">
        <v>3475</v>
      </c>
      <c r="G20" s="8"/>
      <c r="H20" s="575" t="s">
        <v>3475</v>
      </c>
      <c r="I20" s="576"/>
    </row>
    <row r="21" customFormat="false" ht="15" hidden="false" customHeight="false" outlineLevel="0" collapsed="false">
      <c r="A21" s="563"/>
      <c r="B21" s="566" t="s">
        <v>2318</v>
      </c>
      <c r="C21" s="567"/>
      <c r="D21" s="568"/>
      <c r="F21" s="575" t="s">
        <v>3476</v>
      </c>
      <c r="G21" s="8"/>
      <c r="H21" s="575" t="s">
        <v>3476</v>
      </c>
      <c r="I21" s="576"/>
    </row>
    <row r="22" customFormat="false" ht="15" hidden="false" customHeight="false" outlineLevel="0" collapsed="false">
      <c r="A22" s="563"/>
      <c r="B22" s="566" t="s">
        <v>2971</v>
      </c>
      <c r="C22" s="567"/>
      <c r="D22" s="568"/>
      <c r="F22" s="575" t="s">
        <v>3477</v>
      </c>
      <c r="G22" s="8"/>
      <c r="H22" s="575" t="s">
        <v>3477</v>
      </c>
      <c r="I22" s="576"/>
    </row>
    <row r="23" customFormat="false" ht="15" hidden="false" customHeight="false" outlineLevel="0" collapsed="false">
      <c r="A23" s="563"/>
      <c r="B23" s="566" t="s">
        <v>1933</v>
      </c>
      <c r="C23" s="567"/>
      <c r="D23" s="568"/>
      <c r="F23" s="575" t="s">
        <v>3478</v>
      </c>
      <c r="G23" s="8"/>
      <c r="H23" s="575" t="s">
        <v>3478</v>
      </c>
      <c r="I23" s="576"/>
    </row>
    <row r="24" customFormat="false" ht="15" hidden="false" customHeight="false" outlineLevel="0" collapsed="false">
      <c r="A24" s="563"/>
      <c r="B24" s="566" t="s">
        <v>2973</v>
      </c>
      <c r="C24" s="567"/>
      <c r="D24" s="568"/>
      <c r="F24" s="575" t="s">
        <v>3479</v>
      </c>
      <c r="G24" s="8"/>
      <c r="H24" s="575" t="s">
        <v>3479</v>
      </c>
      <c r="I24" s="576"/>
    </row>
    <row r="25" customFormat="false" ht="15" hidden="false" customHeight="false" outlineLevel="0" collapsed="false">
      <c r="A25" s="563"/>
      <c r="B25" s="566" t="s">
        <v>1354</v>
      </c>
      <c r="C25" s="567"/>
      <c r="D25" s="568"/>
      <c r="F25" s="575" t="s">
        <v>3460</v>
      </c>
      <c r="G25" s="8"/>
      <c r="H25" s="575" t="s">
        <v>3460</v>
      </c>
      <c r="I25" s="576"/>
    </row>
    <row r="26" customFormat="false" ht="15" hidden="false" customHeight="false" outlineLevel="0" collapsed="false">
      <c r="A26" s="563"/>
      <c r="B26" s="566" t="s">
        <v>1357</v>
      </c>
      <c r="C26" s="567"/>
      <c r="D26" s="568"/>
      <c r="F26" s="575" t="s">
        <v>3480</v>
      </c>
      <c r="G26" s="8"/>
      <c r="H26" s="575" t="s">
        <v>3480</v>
      </c>
      <c r="I26" s="576"/>
    </row>
    <row r="27" customFormat="false" ht="15" hidden="false" customHeight="false" outlineLevel="0" collapsed="false">
      <c r="A27" s="563"/>
      <c r="B27" s="566" t="s">
        <v>1329</v>
      </c>
      <c r="C27" s="567"/>
      <c r="D27" s="568"/>
      <c r="F27" s="577" t="s">
        <v>3481</v>
      </c>
      <c r="G27" s="578"/>
      <c r="H27" s="577" t="s">
        <v>3481</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3482</v>
      </c>
    </row>
    <row r="31" customFormat="false" ht="15" hidden="false" customHeight="false" outlineLevel="0" collapsed="false">
      <c r="A31" s="563"/>
      <c r="B31" s="566" t="s">
        <v>2323</v>
      </c>
      <c r="C31" s="567"/>
      <c r="D31" s="568"/>
      <c r="F31" s="581" t="s">
        <v>3483</v>
      </c>
    </row>
    <row r="32" customFormat="false" ht="15" hidden="false" customHeight="false" outlineLevel="0" collapsed="false">
      <c r="A32" s="563"/>
      <c r="B32" s="566" t="s">
        <v>2325</v>
      </c>
      <c r="C32" s="567"/>
      <c r="D32" s="568"/>
      <c r="F32" s="582" t="s">
        <v>3443</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3484</v>
      </c>
    </row>
    <row r="37" customFormat="false" ht="15" hidden="false" customHeight="false" outlineLevel="0" collapsed="false">
      <c r="A37" s="563"/>
      <c r="B37" s="566" t="s">
        <v>2979</v>
      </c>
      <c r="C37" s="567"/>
      <c r="D37" s="568"/>
      <c r="F37" s="581" t="s">
        <v>3485</v>
      </c>
    </row>
    <row r="38" customFormat="false" ht="15" hidden="false" customHeight="false" outlineLevel="0" collapsed="false">
      <c r="A38" s="563"/>
      <c r="B38" s="566" t="s">
        <v>2981</v>
      </c>
      <c r="C38" s="567"/>
      <c r="D38" s="568"/>
      <c r="F38" s="583" t="s">
        <v>3462</v>
      </c>
    </row>
    <row r="39" customFormat="false" ht="15" hidden="false" customHeight="false" outlineLevel="0" collapsed="false">
      <c r="A39" s="563"/>
      <c r="B39" s="566" t="s">
        <v>2983</v>
      </c>
      <c r="C39" s="567"/>
      <c r="D39" s="568"/>
      <c r="F39" s="583" t="s">
        <v>3486</v>
      </c>
    </row>
    <row r="40" customFormat="false" ht="15" hidden="false" customHeight="false" outlineLevel="0" collapsed="false">
      <c r="A40" s="563"/>
      <c r="B40" s="566" t="s">
        <v>624</v>
      </c>
      <c r="C40" s="567"/>
      <c r="D40" s="568"/>
      <c r="F40" s="583" t="s">
        <v>3487</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3488</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3489</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3490</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3491</v>
      </c>
    </row>
    <row r="1188" customFormat="false" ht="15" hidden="false" customHeight="false" outlineLevel="0" collapsed="false">
      <c r="A1188" s="563"/>
      <c r="B1188" s="566" t="s">
        <v>3492</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3493</v>
      </c>
    </row>
    <row r="1229" customFormat="false" ht="15" hidden="false" customHeight="false" outlineLevel="0" collapsed="false">
      <c r="A1229" s="563"/>
      <c r="B1229" s="566" t="s">
        <v>3494</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2002-08-08T15:29:48Z</dcterms:created>
  <dc:creator>GIS Macrophytes des eaux continentales</dc:creator>
  <dc:description/>
  <dc:language>fr-FR</dc:language>
  <cp:lastModifiedBy>DUPART Christine</cp:lastModifiedBy>
  <cp:lastPrinted>2016-05-10T07:22:37Z</cp:lastPrinted>
  <dcterms:modified xsi:type="dcterms:W3CDTF">2018-03-12T16:08:42Z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