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159385" sheetId="6" state="visible" r:id="rId8"/>
    <sheet name="jgjg" sheetId="7" state="hidden" r:id="rId9"/>
    <sheet name="liste codes réf" sheetId="8" state="hidden" r:id="rId10"/>
  </sheets>
  <definedNames>
    <definedName function="false" hidden="false" localSheetId="5" name="_xlnm.Print_Area" vbProcedure="false">'06159385'!$A$1:$Q$82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'06159385'!$A$1:$Q$82</definedName>
    <definedName function="false" hidden="false" localSheetId="5" name="_xlnm__FilterDatabase" vbProcedure="false">'06159385'!$A$1:$C$1415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<sst xmlns="http://schemas.openxmlformats.org/spreadsheetml/2006/main" count="8825" uniqueCount="3497">
  <si>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</si>
  <si>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</si>
  <si>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</si>
  <si>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</si>
  <si>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</si>
  <si>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</si>
  <si>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</si>
  <si>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</si>
  <si>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</si>
  <si>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</si>
  <si>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</si>
  <si>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</si>
  <si>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</si>
  <si>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</si>
  <si>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</si>
  <si>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</si>
  <si>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</si>
  <si>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</si>
  <si>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</si>
  <si>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</si>
  <si>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</si>
  <si>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</si>
  <si>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</si>
  <si>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</si>
  <si>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</si>
  <si>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</si>
  <si>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</si>
  <si>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</si>
  <si>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</si>
  <si>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</si>
  <si>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</si>
  <si>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</si>
  <si>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</si>
  <si>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</si>
  <si>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</si>
  <si>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</si>
  <si>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</si>
  <si>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</si>
  <si>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</si>
  <si>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</si>
  <si>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</si>
  <si>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</si>
  <si>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</si>
  <si>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</si>
  <si>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</si>
  <si>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</si>
  <si>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</si>
  <si>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</si>
  <si>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</si>
  <si>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</si>
  <si>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</si>
  <si>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</si>
  <si>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</si>
  <si>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</si>
  <si>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</si>
  <si>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</si>
  <si>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</si>
  <si>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</si>
  <si>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</si>
  <si>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</si>
  <si>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</si>
  <si>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</si>
  <si>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</si>
  <si>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</si>
  <si>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</si>
  <si>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</si>
  <si>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</si>
  <si>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</si>
  <si>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</si>
  <si>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</si>
  <si>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</si>
  <si>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</si>
  <si>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</si>
  <si>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</si>
  <si>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</si>
  <si>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</si>
  <si>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</si>
  <si>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</si>
  <si>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</si>
  <si>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</si>
  <si>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</si>
  <si>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</si>
  <si>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</si>
  <si>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</si>
  <si>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</si>
  <si>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</si>
  <si>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</si>
  <si>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</si>
  <si>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</si>
  <si>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</si>
  <si>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</si>
  <si>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</si>
  <si>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</si>
  <si>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</si>
  <si>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</si>
  <si>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</si>
  <si>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</si>
  <si>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</si>
  <si>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</si>
  <si>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</si>
  <si>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</si>
  <si>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</si>
  <si>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</si>
  <si>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</si>
  <si>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</si>
  <si>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</si>
  <si>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</si>
  <si>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</si>
  <si>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</si>
  <si>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</si>
  <si>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</si>
  <si>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</si>
  <si>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</si>
  <si>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</si>
  <si>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</si>
  <si>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</si>
  <si>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</si>
  <si>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</si>
  <si>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</si>
  <si>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</si>
  <si>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</si>
  <si>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</si>
  <si>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</si>
  <si>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</si>
  <si>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</si>
  <si>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</si>
  <si>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</si>
  <si>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</si>
  <si>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</si>
  <si>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</si>
  <si>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</si>
  <si>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</si>
  <si>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</si>
  <si>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</si>
  <si>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</si>
  <si>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</si>
  <si>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</si>
  <si>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</si>
  <si>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</si>
  <si>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</si>
  <si>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</si>
  <si>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</si>
  <si>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</si>
  <si>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</si>
  <si>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</si>
  <si>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</si>
  <si>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</si>
  <si>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</si>
  <si>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</si>
  <si>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</si>
  <si>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</si>
  <si>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</si>
  <si>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</si>
  <si>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</si>
  <si>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</si>
  <si>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</si>
  <si>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</si>
  <si>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</si>
  <si>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</si>
  <si>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</si>
  <si>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</si>
  <si>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</si>
  <si>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</si>
  <si>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</si>
  <si>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</si>
  <si>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</si>
  <si>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</si>
  <si>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</si>
  <si>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</si>
  <si>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</si>
  <si>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</si>
  <si>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</si>
  <si>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</si>
  <si>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</si>
  <si>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</si>
  <si>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</si>
  <si>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</si>
  <si>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</si>
  <si>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</si>
  <si>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</si>
  <si>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</si>
  <si>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</si>
  <si>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</si>
  <si>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</si>
  <si>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</si>
  <si>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</si>
  <si>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</si>
  <si>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</si>
  <si>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</si>
  <si>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</si>
  <si>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</si>
  <si>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</si>
  <si>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</si>
  <si>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</si>
  <si>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</si>
  <si>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</si>
  <si>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</si>
  <si>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</si>
  <si>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</si>
  <si>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</si>
  <si>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</si>
  <si>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</si>
  <si>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</si>
  <si>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</si>
  <si>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</si>
  <si>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</si>
  <si>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</si>
  <si>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</si>
  <si>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</si>
  <si>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</si>
  <si>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</si>
  <si>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</si>
  <si>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</si>
  <si>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</si>
  <si>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</si>
  <si>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</si>
  <si>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</si>
  <si>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</si>
  <si>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</si>
  <si>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</si>
  <si>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</si>
  <si>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</si>
  <si>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</si>
  <si>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</si>
  <si>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</si>
  <si>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</si>
  <si>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</si>
  <si>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</si>
  <si>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</si>
  <si>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</si>
  <si>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</si>
  <si>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</si>
  <si>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</si>
  <si>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</si>
  <si>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</si>
  <si>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</si>
  <si>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</si>
  <si>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</si>
  <si>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</si>
  <si>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</si>
  <si>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</si>
  <si>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</si>
  <si>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</si>
  <si>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</si>
  <si>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</si>
  <si>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</si>
  <si>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</si>
  <si>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</si>
  <si>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</si>
  <si>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</si>
  <si>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</si>
  <si>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</si>
  <si>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</si>
  <si>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</si>
  <si>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</si>
  <si>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</si>
  <si>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</si>
  <si>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</si>
  <si>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</si>
  <si>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</si>
  <si>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</si>
  <si>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</si>
  <si>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</si>
  <si>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</si>
  <si>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</si>
  <si>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</si>
  <si>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</si>
  <si>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</si>
  <si>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</si>
  <si>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</si>
  <si>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</si>
  <si>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</si>
  <si>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</si>
  <si>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</si>
  <si>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</si>
  <si>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</si>
  <si>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</si>
  <si>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</si>
  <si>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</si>
  <si>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</si>
  <si>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</si>
  <si>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</si>
  <si>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</si>
  <si>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</si>
  <si>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</si>
  <si>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</si>
  <si>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</si>
  <si>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</si>
  <si>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</si>
  <si>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</si>
  <si>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</si>
  <si>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</si>
  <si>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</si>
  <si>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</si>
  <si>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</si>
  <si>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</si>
  <si>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</si>
  <si>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</si>
  <si>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</si>
  <si>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</si>
  <si>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</si>
  <si>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</si>
  <si>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</si>
  <si>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</si>
  <si>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</si>
  <si>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</si>
  <si>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</si>
  <si>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</si>
  <si>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</si>
  <si>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</si>
  <si>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</si>
  <si>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</si>
  <si>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</si>
  <si>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</si>
  <si>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</si>
  <si>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</si>
  <si>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</si>
  <si>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</si>
  <si>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</si>
  <si>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</si>
  <si>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</si>
  <si>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</si>
  <si>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</si>
  <si>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</si>
  <si>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</si>
  <si>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</si>
  <si>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</si>
  <si>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</si>
  <si>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</si>
  <si>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</si>
  <si>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</si>
  <si>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</si>
  <si>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</si>
  <si>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</si>
  <si>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</si>
  <si>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</si>
  <si>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</si>
  <si>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</si>
  <si>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</si>
  <si>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</si>
  <si>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</si>
  <si>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</si>
  <si>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</si>
  <si>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</si>
  <si>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</si>
  <si>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</si>
  <si>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</si>
  <si>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</si>
  <si>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</si>
  <si>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</si>
  <si>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</si>
  <si>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</si>
  <si>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</si>
  <si>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</si>
  <si>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</si>
  <si>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</si>
  <si>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</si>
  <si>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</si>
  <si>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</si>
  <si>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</si>
  <si>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</si>
  <si>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</si>
  <si>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</si>
  <si>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</si>
  <si>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</si>
  <si>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</si>
  <si>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</si>
  <si>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</si>
  <si>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</si>
  <si>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</si>
  <si>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</si>
  <si>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</si>
  <si>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</si>
  <si>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</si>
  <si>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</si>
  <si>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</si>
  <si>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</si>
  <si>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</si>
  <si>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</si>
  <si>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</si>
  <si>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</si>
  <si>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</si>
  <si>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</si>
  <si>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</si>
  <si>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</si>
  <si>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</si>
  <si>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</si>
  <si>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</si>
  <si>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</si>
  <si>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</si>
  <si>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</si>
  <si>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</si>
  <si>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</si>
  <si>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</si>
  <si>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</si>
  <si>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</si>
  <si>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</si>
  <si>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</si>
  <si>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</si>
  <si>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</si>
  <si>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</si>
  <si>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</si>
  <si>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</si>
  <si>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</si>
  <si>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</si>
  <si>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</si>
  <si>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</si>
  <si>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</si>
  <si>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</si>
  <si>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</si>
  <si>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</si>
  <si>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</si>
  <si>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</si>
  <si>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</si>
  <si>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</si>
  <si>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</si>
  <si>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</si>
  <si>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</si>
  <si>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</si>
  <si>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</si>
  <si>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</si>
  <si>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</si>
  <si>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</si>
  <si>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</si>
  <si>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</si>
  <si>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</si>
  <si>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</si>
  <si>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</si>
  <si>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</si>
  <si>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</si>
  <si>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</si>
  <si>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</si>
  <si>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</si>
  <si>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</si>
  <si>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</si>
  <si>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</si>
  <si>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</si>
  <si>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</si>
  <si>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</si>
  <si>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</si>
  <si>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</si>
  <si>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</si>
  <si>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</si>
  <si>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</si>
  <si>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</si>
  <si>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</si>
  <si>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</si>
  <si>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</si>
  <si>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</si>
  <si>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</si>
  <si>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</si>
  <si>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</si>
  <si>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</si>
  <si>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</si>
  <si>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</si>
  <si>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</si>
  <si>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</si>
  <si>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</si>
  <si>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</si>
  <si>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</si>
  <si>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</si>
  <si>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</si>
  <si>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</si>
  <si>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</si>
  <si>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</si>
  <si>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</si>
  <si>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</si>
  <si>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</si>
  <si>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</si>
  <si>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</si>
  <si>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</si>
  <si>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</si>
  <si>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</si>
  <si>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</si>
  <si>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</si>
  <si>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</si>
  <si>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</si>
  <si>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</si>
  <si>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</si>
  <si>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</si>
  <si>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</si>
  <si>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</si>
  <si>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</si>
  <si>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</si>
  <si>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</si>
  <si>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</si>
  <si>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</si>
  <si>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</si>
  <si>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</si>
  <si>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</si>
  <si>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</si>
  <si>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</si>
  <si>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</si>
  <si>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</si>
  <si>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</si>
  <si>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</si>
  <si>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</si>
  <si>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</si>
  <si>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</si>
  <si>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</si>
  <si>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</si>
  <si>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</si>
  <si>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</si>
  <si>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</si>
  <si>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</si>
  <si>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</si>
  <si>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</si>
  <si>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</si>
  <si>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</si>
  <si>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</si>
  <si>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</si>
  <si>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</si>
  <si>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</si>
  <si>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</si>
  <si>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</si>
  <si>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</si>
  <si>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</si>
  <si>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</si>
  <si>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</si>
  <si>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</si>
  <si>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</si>
  <si>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</si>
  <si>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</si>
  <si>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</si>
  <si>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</si>
  <si>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</si>
  <si>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</si>
  <si>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</si>
  <si>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</si>
  <si>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</si>
  <si>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</si>
  <si>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</si>
  <si>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</si>
  <si>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</si>
  <si>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</si>
  <si>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</si>
  <si>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</si>
  <si>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</si>
  <si>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</si>
  <si>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</si>
  <si>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</si>
  <si>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</si>
  <si>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</si>
  <si>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</si>
  <si>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</si>
  <si>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</si>
  <si>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</si>
  <si>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</si>
  <si>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</si>
  <si>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</si>
  <si>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</si>
  <si>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</si>
  <si>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</si>
  <si>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</si>
  <si>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</si>
  <si>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</si>
  <si>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</si>
  <si>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</si>
  <si>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</si>
  <si>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</si>
  <si>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</si>
  <si>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</si>
  <si>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</si>
  <si>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</si>
  <si>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</si>
  <si>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</si>
  <si>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</si>
  <si>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</si>
  <si>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</si>
  <si>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</si>
  <si>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</si>
  <si>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</si>
  <si>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</si>
  <si>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</si>
  <si>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</si>
  <si>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</si>
  <si>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</si>
  <si>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</si>
  <si>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</si>
  <si>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</si>
  <si>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</si>
  <si>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</si>
  <si>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</si>
  <si>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</si>
  <si>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</si>
  <si>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</si>
  <si>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</si>
  <si>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</si>
  <si>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</si>
  <si>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</si>
  <si>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</si>
  <si>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</si>
  <si>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</si>
  <si>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</si>
  <si>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</si>
  <si>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</si>
  <si>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</si>
  <si>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</si>
  <si>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</si>
  <si>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</si>
  <si>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</si>
  <si>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</si>
  <si>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</si>
  <si>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</si>
  <si>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</si>
  <si>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</si>
  <si>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</si>
  <si>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</si>
  <si>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</si>
  <si>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</si>
  <si>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</si>
  <si>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</si>
  <si>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</si>
  <si>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</si>
  <si>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</si>
  <si>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</si>
  <si>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</si>
  <si>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</si>
  <si>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</si>
  <si>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</si>
  <si>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</si>
  <si>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</si>
  <si>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</si>
  <si>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</si>
  <si>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</si>
  <si>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</si>
  <si>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</si>
  <si>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</si>
  <si>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</si>
  <si>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</si>
  <si>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</si>
  <si>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</si>
  <si>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</si>
  <si>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</si>
  <si>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</si>
  <si>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</si>
  <si>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</si>
  <si>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</si>
  <si>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</si>
  <si>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</si>
  <si>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</si>
  <si>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</si>
  <si>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</si>
  <si>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</si>
  <si>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</si>
  <si>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</si>
  <si>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</si>
  <si>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</si>
  <si>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</si>
  <si>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</si>
  <si>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</si>
  <si>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</si>
  <si>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</si>
  <si>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</si>
  <si>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</si>
  <si>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</si>
  <si>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</si>
  <si>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</si>
  <si>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</si>
  <si>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</si>
  <si>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</si>
  <si>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</si>
  <si>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</si>
  <si>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</si>
  <si>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</si>
  <si>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</si>
  <si>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</si>
  <si>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</si>
  <si>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</si>
  <si>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</si>
  <si>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</si>
  <si>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</si>
  <si>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</si>
  <si>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</si>
  <si>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</si>
  <si>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</si>
  <si>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</si>
  <si>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</si>
  <si>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</si>
  <si>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</si>
  <si>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</si>
  <si>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</si>
  <si>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</si>
  <si>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</si>
  <si>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</si>
  <si>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</si>
  <si>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</si>
  <si>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</si>
  <si>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</si>
  <si>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</si>
  <si>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</si>
  <si>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</si>
  <si>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</si>
  <si>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</si>
  <si>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</si>
  <si>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</si>
  <si>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</si>
  <si>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</si>
  <si>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</si>
  <si>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</si>
  <si>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</si>
  <si>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</si>
  <si>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</si>
  <si>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</si>
  <si>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</si>
  <si>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</si>
  <si>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</si>
  <si>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</si>
  <si>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</si>
  <si>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</si>
  <si>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</si>
  <si>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</si>
  <si>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</si>
  <si>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</si>
  <si>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</si>
  <si>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</si>
  <si>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</si>
  <si>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</si>
  <si>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</si>
  <si>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</si>
  <si>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</si>
  <si>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</si>
  <si>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</si>
  <si>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</si>
  <si>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</si>
  <si>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</si>
  <si>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</si>
  <si>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</si>
  <si>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</si>
  <si>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</si>
  <si>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</si>
  <si>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</si>
  <si>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</si>
  <si>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</si>
  <si>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</si>
  <si>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</si>
  <si>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</si>
  <si>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</si>
  <si>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</si>
  <si>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</si>
  <si>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</si>
  <si>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</si>
  <si>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</si>
  <si>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</si>
  <si>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</si>
  <si>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</si>
  <si>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</si>
  <si>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</si>
  <si>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</si>
  <si>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</si>
  <si>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</si>
  <si>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</si>
  <si>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</si>
  <si>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</si>
  <si>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</si>
  <si>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</si>
  <si>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</si>
  <si>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</si>
  <si>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</si>
  <si>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</si>
  <si>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</si>
  <si>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</si>
  <si>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</si>
  <si>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</si>
  <si>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</si>
  <si>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</si>
  <si>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</si>
  <si>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</si>
  <si>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</si>
  <si>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</si>
  <si>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</si>
  <si>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</si>
  <si>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</si>
  <si>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</si>
  <si>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</si>
  <si>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</si>
  <si>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</si>
  <si>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</si>
  <si>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</si>
  <si>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</si>
  <si>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</si>
  <si>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</si>
  <si>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</si>
  <si>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</si>
  <si>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</si>
  <si>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</si>
  <si>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</si>
  <si>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</si>
  <si>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</si>
  <si>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</si>
  <si>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</si>
  <si>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</si>
  <si>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</si>
  <si>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</si>
  <si>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</si>
  <si>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</si>
  <si>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</si>
  <si>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</si>
  <si>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</si>
  <si>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</si>
  <si>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</si>
  <si>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</si>
  <si>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</si>
  <si>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</si>
  <si>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</si>
  <si>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</si>
  <si>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</si>
  <si>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</si>
  <si>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</si>
  <si>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</si>
  <si>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</si>
  <si>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</si>
  <si>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</si>
  <si>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</si>
  <si>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</si>
  <si>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</si>
  <si>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</si>
  <si>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</si>
  <si>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</si>
  <si>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</si>
  <si>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</si>
  <si>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</si>
  <si>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</si>
  <si>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</si>
  <si>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</si>
  <si>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</si>
  <si>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</si>
  <si>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</si>
  <si>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</si>
  <si>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</si>
  <si>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</si>
  <si>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</si>
  <si>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</si>
  <si>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</si>
  <si>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</si>
  <si>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</si>
  <si>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</si>
  <si>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</si>
  <si>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</si>
  <si>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</si>
  <si>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</si>
  <si>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</si>
  <si>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</si>
  <si>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</si>
  <si>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</si>
  <si>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</si>
  <si>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</si>
  <si>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</si>
  <si>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</si>
  <si>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</si>
  <si>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</si>
  <si>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</si>
  <si>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</si>
  <si>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</si>
  <si>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</si>
  <si>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</si>
  <si>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</si>
  <si>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</si>
  <si>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</si>
  <si>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</si>
  <si>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</si>
  <si>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</si>
  <si>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</si>
  <si>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</si>
  <si>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</si>
  <si>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</si>
  <si>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</si>
  <si>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</si>
  <si>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</si>
  <si>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</si>
  <si>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</si>
  <si>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</si>
  <si>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</si>
  <si>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</si>
  <si>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</si>
  <si>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</si>
  <si>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</si>
  <si>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</si>
  <si>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</si>
  <si>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</si>
  <si>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</si>
  <si>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</si>
  <si>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</si>
  <si>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</si>
  <si>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</si>
  <si>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</si>
  <si>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</si>
  <si>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</si>
  <si>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</si>
  <si>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</si>
  <si>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</si>
  <si>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</si>
  <si>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</si>
  <si>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</si>
  <si>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</si>
  <si>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</si>
  <si>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</si>
  <si>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</si>
  <si>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</si>
  <si>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</si>
  <si>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</si>
  <si>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</si>
  <si>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</si>
  <si>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</si>
  <si>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</si>
  <si>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</si>
  <si>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</si>
  <si>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</si>
  <si>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</si>
  <si>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</si>
  <si>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</si>
  <si>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</si>
  <si>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</si>
  <si>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</si>
  <si>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</si>
  <si>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</si>
  <si>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</si>
  <si>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</si>
  <si>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</si>
  <si>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</si>
  <si>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</si>
  <si>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</si>
  <si>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</si>
  <si>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</si>
  <si>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</si>
  <si>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</si>
  <si>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</si>
  <si>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</si>
  <si>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</si>
  <si>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</si>
  <si>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</si>
  <si>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</si>
  <si>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</si>
  <si>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</si>
  <si>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</si>
  <si>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</si>
  <si>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</si>
  <si>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</si>
  <si>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</si>
  <si>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</si>
  <si>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</si>
  <si>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</si>
  <si>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</si>
  <si>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</si>
  <si>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</si>
  <si>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</si>
  <si>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</si>
  <si>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</si>
  <si>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</si>
  <si>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</si>
  <si>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</si>
  <si>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</si>
  <si>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</si>
  <si>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</si>
  <si>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</si>
  <si>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</si>
  <si>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</si>
  <si>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</si>
  <si>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</si>
  <si>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</si>
  <si>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</si>
  <si>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</si>
  <si>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</si>
  <si>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</si>
  <si>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</si>
  <si>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</si>
  <si>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</si>
  <si>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</si>
  <si>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</si>
  <si>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</si>
  <si>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</si>
  <si>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</si>
  <si>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</si>
  <si>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</si>
  <si>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</si>
  <si>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</si>
  <si>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</si>
  <si>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</si>
  <si>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</si>
  <si>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</si>
  <si>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</si>
  <si>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</si>
  <si>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</si>
  <si>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</si>
  <si>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</si>
  <si>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</si>
  <si>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</si>
  <si>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</si>
  <si>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</si>
  <si>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</si>
  <si>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</si>
  <si>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</si>
  <si>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</si>
  <si>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</si>
  <si>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</si>
  <si>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</si>
  <si>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</si>
  <si>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</si>
  <si>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</si>
  <si>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</si>
  <si>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</si>
  <si>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</si>
  <si>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</si>
  <si>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</si>
  <si>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</si>
  <si>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</si>
  <si>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</si>
  <si>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</si>
  <si>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</si>
  <si>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</si>
  <si>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</si>
  <si>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</si>
  <si>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</si>
  <si>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</si>
  <si>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</si>
  <si>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</si>
  <si>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</si>
  <si>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</si>
  <si>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</si>
  <si>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</si>
  <si>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</si>
  <si>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</si>
  <si>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</si>
  <si>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</si>
  <si>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</si>
  <si>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</si>
  <si>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</si>
  <si>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</si>
  <si>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</si>
  <si>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</si>
  <si>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</si>
  <si>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</si>
  <si>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</si>
  <si>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</si>
  <si>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</si>
  <si>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</si>
  <si>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</si>
  <si>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</si>
  <si>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</si>
  <si>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</si>
  <si>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</si>
  <si>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</si>
  <si>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</si>
  <si>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</si>
  <si>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</si>
  <si>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</si>
  <si>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</si>
  <si>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</si>
  <si>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</si>
  <si>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</si>
  <si>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</si>
  <si>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</si>
  <si>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</si>
  <si>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</si>
  <si>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</si>
  <si>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</si>
  <si>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</si>
  <si>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</si>
  <si>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</si>
  <si>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</si>
  <si>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</si>
  <si>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</si>
  <si>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</si>
  <si>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</si>
  <si>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</si>
  <si>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</si>
  <si>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</si>
  <si>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</si>
  <si>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</si>
  <si>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</si>
  <si>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</si>
  <si>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</si>
  <si>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</si>
  <si>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</si>
  <si>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</si>
  <si>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</si>
  <si>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</si>
  <si>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</si>
  <si>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</si>
  <si>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</si>
  <si>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</si>
  <si>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</si>
  <si>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</si>
  <si>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</si>
  <si>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</si>
  <si>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</si>
  <si>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</si>
  <si>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</si>
  <si>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</si>
  <si>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</si>
  <si>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</si>
  <si>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</si>
  <si>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</si>
  <si>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</si>
  <si>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</si>
  <si>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</si>
  <si>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</si>
  <si>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</si>
  <si>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</si>
  <si>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</si>
  <si>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</si>
  <si>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</si>
  <si>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</si>
  <si>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</si>
  <si>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</si>
  <si>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</si>
  <si>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</si>
  <si>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</si>
  <si>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</si>
  <si>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</si>
  <si>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</si>
  <si>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</si>
  <si>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</si>
  <si>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</si>
  <si>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</si>
  <si>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</si>
  <si>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</si>
  <si>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</si>
  <si>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</si>
  <si>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</si>
  <si>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</si>
  <si>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</si>
  <si>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</si>
  <si>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</si>
  <si>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</si>
  <si>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</si>
  <si>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</si>
  <si>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</si>
  <si>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</si>
  <si>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</si>
  <si>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</si>
  <si>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</si>
  <si>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</si>
  <si>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</si>
  <si>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</si>
  <si>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</si>
  <si>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</si>
  <si>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</si>
  <si>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</si>
  <si>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</si>
  <si>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</si>
  <si>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</si>
  <si>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</si>
  <si>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</si>
  <si>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</si>
  <si>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</si>
  <si>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</si>
  <si>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</si>
  <si>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</si>
  <si>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</si>
  <si>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</si>
  <si>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</si>
  <si>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</si>
  <si>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</si>
  <si>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</si>
  <si>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</si>
  <si>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</si>
  <si>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</si>
  <si>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</si>
  <si>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</si>
  <si>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</si>
  <si>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</si>
  <si>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</si>
  <si>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</si>
  <si>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</si>
  <si>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</si>
  <si>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</si>
  <si>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</si>
  <si>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</si>
  <si>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</si>
  <si>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</si>
  <si>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</si>
  <si>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</si>
  <si>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</si>
  <si>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</si>
  <si>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</si>
  <si>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</si>
  <si>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</si>
  <si>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</si>
  <si>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</si>
  <si>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</si>
  <si>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</si>
  <si>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</si>
  <si>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</si>
  <si>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</si>
  <si>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</si>
  <si>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</si>
  <si>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</si>
  <si>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</si>
  <si>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</si>
  <si>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</si>
  <si>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</si>
  <si>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</si>
  <si>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</si>
  <si>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</si>
  <si>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</si>
  <si>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</si>
  <si>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</si>
  <si>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</si>
  <si>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</si>
  <si>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</si>
  <si>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</si>
  <si>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</si>
  <si>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</si>
  <si>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</si>
  <si>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</si>
  <si>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</si>
  <si>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</si>
  <si>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</si>
  <si>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</si>
  <si>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</si>
  <si>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</si>
  <si>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</si>
  <si>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</si>
  <si>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</si>
  <si>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</si>
  <si>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</si>
  <si>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</si>
  <si>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</si>
  <si>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</si>
  <si>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</si>
  <si>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</si>
  <si>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</si>
  <si>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</si>
  <si>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</si>
  <si>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</si>
  <si>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</si>
  <si>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</si>
  <si>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</si>
  <si>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</si>
  <si>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</si>
  <si>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</si>
  <si>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</si>
  <si>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</si>
  <si>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</si>
  <si>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</si>
  <si>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</si>
  <si>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</si>
  <si>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</si>
  <si>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</si>
  <si>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</si>
  <si>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</si>
  <si>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</si>
  <si>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</si>
  <si>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</si>
  <si>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</si>
  <si>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</si>
  <si>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</si>
  <si>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</si>
  <si>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</si>
  <si>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</si>
  <si>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</si>
  <si>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</si>
  <si>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</si>
  <si>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</si>
  <si>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</si>
  <si>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</si>
  <si>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</si>
  <si>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</si>
  <si>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</si>
  <si>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</si>
  <si>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</si>
  <si>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</si>
  <si>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</si>
  <si>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</si>
  <si>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</si>
  <si>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</si>
  <si>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</si>
  <si>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</si>
  <si>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</si>
  <si>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</si>
  <si>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</si>
  <si>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</si>
  <si>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</si>
  <si>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</si>
  <si>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</si>
  <si>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</si>
  <si>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</si>
  <si>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</si>
  <si>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</si>
  <si>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</si>
  <si>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</si>
  <si>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</si>
  <si>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</si>
  <si>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</si>
  <si>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</si>
  <si>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</si>
  <si>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</si>
  <si>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</si>
  <si>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</si>
  <si>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</si>
  <si>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</si>
  <si>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</si>
  <si>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</si>
  <si>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</si>
  <si>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</si>
  <si>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</si>
  <si>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</si>
  <si>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</si>
  <si>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</si>
  <si>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</si>
  <si>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</si>
  <si>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</si>
  <si>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</si>
  <si>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</si>
  <si>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</si>
  <si>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</si>
  <si>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</si>
  <si>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</si>
  <si>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</si>
  <si>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</si>
  <si>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</si>
  <si>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</si>
  <si>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</si>
  <si>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</si>
  <si>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</si>
  <si>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</si>
  <si>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</si>
  <si>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</si>
  <si>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</si>
  <si>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</si>
  <si>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</si>
  <si>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</si>
  <si>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</si>
  <si>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</si>
  <si>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</si>
  <si>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</si>
  <si>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</si>
  <si>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</si>
  <si>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</si>
  <si>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</si>
  <si>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</si>
  <si>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</si>
  <si>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</si>
  <si>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</si>
  <si>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</si>
  <si>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</si>
  <si>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</si>
  <si>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</si>
  <si>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</si>
  <si>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</si>
  <si>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</si>
  <si>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</si>
  <si>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</si>
  <si>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</si>
  <si>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</si>
  <si>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</si>
  <si>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</si>
  <si>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</si>
  <si>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</si>
  <si>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</si>
  <si>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</si>
  <si>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</si>
  <si>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</si>
  <si>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</si>
  <si>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</si>
  <si>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</si>
  <si>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</si>
  <si>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</si>
  <si>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</si>
  <si>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</si>
  <si>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</si>
  <si>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</si>
  <si>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</si>
  <si>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</si>
  <si>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</si>
  <si>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</si>
  <si>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</si>
  <si>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</si>
  <si>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</si>
  <si>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</si>
  <si>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</si>
  <si>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</si>
  <si>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</si>
  <si>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</si>
  <si>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</si>
  <si>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</si>
  <si>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</si>
  <si>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</si>
  <si>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</si>
  <si>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</si>
  <si>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</si>
  <si>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</si>
  <si>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</si>
  <si>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</si>
  <si>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</si>
  <si>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</si>
  <si>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</si>
  <si>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</si>
  <si>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</si>
  <si>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</si>
  <si>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</si>
  <si>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</si>
  <si>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</si>
  <si>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</si>
  <si>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</si>
  <si>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</si>
  <si>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</si>
  <si>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</si>
  <si>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</si>
  <si>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</si>
  <si>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</si>
  <si>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</si>
  <si>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</si>
  <si>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</si>
  <si>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</si>
  <si>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</si>
  <si>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</si>
  <si>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</si>
  <si>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</si>
  <si>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</si>
  <si>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</si>
  <si>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</si>
  <si>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</si>
  <si>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</si>
  <si>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</si>
  <si>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</si>
  <si>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</si>
  <si>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</si>
  <si>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</si>
  <si>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</si>
  <si>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</si>
  <si>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</si>
  <si>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</si>
  <si>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</si>
  <si>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</si>
  <si>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</si>
  <si>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</si>
  <si>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</si>
  <si>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</si>
  <si>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</si>
  <si>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</si>
  <si>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</si>
  <si>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</si>
  <si>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</si>
  <si>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</si>
  <si>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</si>
  <si>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</si>
  <si>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</si>
  <si>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</si>
  <si>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</si>
  <si>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</si>
  <si>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</si>
  <si>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</si>
  <si>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</si>
  <si>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</si>
  <si>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</si>
  <si>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</si>
  <si>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</si>
  <si>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</si>
  <si>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</si>
  <si>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</si>
  <si>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</si>
  <si>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</si>
  <si>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</si>
  <si>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</si>
  <si>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</si>
  <si>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</si>
  <si>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</si>
  <si>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</si>
  <si>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</si>
  <si>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</si>
  <si>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</si>
  <si>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</si>
  <si>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</si>
  <si>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</si>
  <si>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</si>
  <si>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</si>
  <si>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</si>
  <si>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</si>
  <si>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</si>
  <si>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</si>
  <si>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</si>
  <si>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</si>
  <si>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</si>
  <si>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</si>
  <si>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</si>
  <si>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</si>
  <si>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</si>
  <si>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</si>
  <si>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</si>
  <si>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</si>
  <si>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</si>
  <si>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</si>
  <si>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</si>
  <si>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</si>
  <si>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</si>
  <si>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</si>
  <si>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</si>
  <si>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</si>
  <si>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</si>
  <si>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</si>
  <si>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</si>
  <si>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</si>
  <si>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</si>
  <si>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</si>
  <si>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</si>
  <si>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</si>
  <si>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</si>
  <si>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</si>
  <si>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</si>
  <si>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</si>
  <si>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</si>
  <si>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</si>
  <si>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</si>
  <si>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</si>
  <si>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</si>
  <si>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</si>
  <si>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</si>
  <si>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</si>
  <si>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</si>
  <si>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</si>
  <si>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</si>
  <si>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</si>
  <si>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</si>
  <si>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</si>
  <si>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</si>
  <si>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</si>
  <si>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</si>
  <si>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</si>
  <si>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</si>
  <si>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</si>
  <si>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</si>
  <si>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</si>
  <si>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</si>
  <si>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</si>
  <si>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</si>
  <si>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</si>
  <si>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</si>
  <si>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</si>
  <si>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</si>
  <si>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</si>
  <si>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</si>
  <si>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</si>
  <si>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</si>
  <si>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</si>
  <si>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</si>
  <si>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</si>
  <si>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</si>
  <si>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</si>
  <si>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</si>
  <si>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</si>
  <si>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</si>
  <si>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</si>
  <si>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</si>
  <si>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</si>
  <si>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</si>
  <si>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</si>
  <si>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</si>
  <si>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</si>
  <si>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</si>
  <si>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</si>
  <si>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</si>
  <si>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</si>
  <si>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</si>
  <si>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</si>
  <si>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</si>
  <si>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</si>
  <si>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</si>
  <si>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</si>
  <si>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</si>
  <si>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</si>
  <si>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</si>
  <si>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</si>
  <si>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</si>
  <si>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</si>
  <si>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</si>
  <si>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</si>
  <si>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</si>
  <si>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</si>
  <si>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</si>
  <si>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</si>
  <si>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</si>
  <si>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</si>
  <si>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</si>
  <si>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</si>
  <si>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</si>
  <si>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</si>
  <si>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</si>
  <si>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</si>
  <si>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</si>
  <si>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</si>
  <si>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</si>
  <si>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</si>
  <si>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</si>
  <si>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</si>
  <si>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</si>
  <si>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</si>
  <si>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</si>
  <si>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</si>
  <si>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</si>
  <si>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</si>
  <si>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</si>
  <si>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</si>
  <si>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</si>
  <si>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</si>
  <si>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</si>
  <si>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</si>
  <si>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</si>
  <si>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</si>
  <si>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</si>
  <si>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</si>
  <si>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</si>
  <si>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</si>
  <si>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</si>
  <si>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</si>
  <si>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</si>
  <si>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</si>
  <si>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</si>
  <si>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</si>
  <si>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</si>
  <si>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</si>
  <si>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</si>
  <si>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</si>
  <si>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</si>
  <si>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</si>
  <si>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</si>
  <si>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</si>
  <si>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</si>
  <si>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</si>
  <si>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</si>
  <si>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</si>
  <si>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</si>
  <si>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</si>
  <si>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</si>
  <si>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</si>
  <si>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</si>
  <si>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</si>
  <si>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</si>
  <si>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</si>
  <si>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</si>
  <si>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</si>
  <si>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</si>
  <si>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</si>
  <si>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</si>
  <si>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</si>
  <si>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</si>
  <si>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</si>
  <si>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</si>
  <si>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</si>
  <si>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</si>
  <si>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</si>
  <si>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</si>
  <si>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</si>
  <si>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</si>
  <si>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</si>
  <si>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</si>
  <si>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</si>
  <si>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</si>
  <si>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</si>
  <si>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</si>
  <si>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</si>
  <si>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</si>
  <si>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</si>
  <si>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</si>
  <si>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</si>
  <si>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</si>
  <si>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</si>
  <si>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</si>
  <si>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</si>
  <si>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</si>
  <si>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</si>
  <si>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</si>
  <si>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</si>
  <si>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</si>
  <si>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</si>
  <si>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</si>
  <si>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</si>
  <si>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</si>
  <si>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</si>
  <si>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</si>
  <si>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</si>
  <si>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</si>
  <si>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</si>
  <si>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</si>
  <si>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</si>
  <si>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</si>
  <si>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</si>
  <si>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</si>
  <si>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</si>
  <si>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</si>
  <si>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</si>
  <si>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</si>
  <si>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</si>
  <si>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</si>
  <si>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</si>
  <si>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</si>
  <si>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</si>
  <si>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</si>
  <si>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</si>
  <si>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</si>
  <si>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</si>
  <si>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</si>
  <si>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</si>
  <si>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</si>
  <si>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</si>
  <si>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</si>
  <si>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</si>
  <si>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</si>
  <si>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</si>
  <si>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</si>
  <si>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</si>
  <si>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</si>
  <si>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</si>
  <si>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</si>
  <si>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</si>
  <si>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</si>
  <si>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</si>
  <si>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</si>
  <si>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</si>
  <si>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</si>
  <si>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</si>
  <si>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</si>
  <si>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</si>
  <si>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</si>
  <si>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</si>
  <si>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</si>
  <si>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</si>
  <si>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</si>
  <si>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</si>
  <si>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</si>
  <si>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</si>
  <si>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</si>
  <si>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</si>
  <si>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</si>
  <si>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</si>
  <si>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</si>
  <si>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</si>
  <si>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</si>
  <si>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</si>
  <si>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</si>
  <si>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</si>
  <si>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</si>
  <si>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</si>
  <si>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</si>
  <si>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</si>
  <si>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</si>
  <si>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</si>
  <si>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</si>
  <si>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</si>
  <si>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</si>
  <si>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</si>
  <si>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</si>
  <si>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</si>
  <si>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</si>
  <si>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</si>
  <si>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</si>
  <si>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</si>
  <si>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</si>
  <si>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</si>
  <si>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</si>
  <si>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</si>
  <si>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</si>
  <si>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</si>
  <si>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</si>
  <si>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</si>
  <si>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</si>
  <si>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</si>
  <si>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</si>
  <si>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</si>
  <si>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</si>
  <si>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</si>
  <si>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</si>
  <si>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</si>
  <si>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</si>
  <si>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</si>
  <si>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</si>
  <si>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</si>
  <si>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</si>
  <si>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</si>
  <si>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</si>
  <si>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</si>
  <si>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</si>
  <si>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</si>
  <si>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</si>
  <si>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</si>
  <si>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</si>
  <si>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</si>
  <si>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</si>
  <si>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</si>
  <si>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</si>
  <si>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</si>
  <si>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</si>
  <si>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</si>
  <si>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</si>
  <si>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</si>
  <si>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</si>
  <si>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</si>
  <si>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</si>
  <si>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</si>
  <si>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</si>
  <si>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</si>
  <si>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</si>
  <si>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</si>
  <si>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</si>
  <si>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</si>
  <si>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</si>
  <si>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</si>
  <si>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</si>
  <si>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</si>
  <si>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</si>
  <si>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</si>
  <si>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</si>
  <si>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</si>
  <si>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</si>
  <si>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</si>
  <si>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</si>
  <si>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</si>
  <si>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</si>
  <si>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</si>
  <si>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</si>
  <si>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</si>
  <si>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</si>
  <si>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</si>
  <si>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</si>
  <si>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</si>
  <si>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</si>
  <si>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</si>
  <si>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</si>
  <si>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</si>
  <si>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</si>
  <si>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</si>
  <si>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</si>
  <si>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</si>
  <si>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</si>
  <si>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</si>
  <si>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</si>
  <si>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</si>
  <si>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</si>
  <si>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</si>
  <si>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</si>
  <si>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</si>
  <si>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</si>
  <si>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</si>
  <si>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</si>
  <si>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</si>
  <si>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</si>
  <si>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</si>
  <si>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</si>
  <si>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</si>
  <si>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</si>
  <si>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</si>
  <si>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</si>
  <si>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</si>
  <si>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</si>
  <si>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</si>
  <si>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</si>
  <si>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</si>
  <si>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</si>
  <si>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</si>
  <si>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</si>
  <si>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</si>
  <si>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</si>
  <si>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</si>
  <si>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</si>
  <si>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</si>
  <si>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</si>
  <si>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</si>
  <si>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</si>
  <si>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</si>
  <si>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</si>
  <si>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</si>
  <si>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</si>
  <si>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</si>
  <si>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</si>
  <si>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</si>
  <si>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</si>
  <si>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</si>
  <si>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</si>
  <si>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</si>
  <si>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</si>
  <si>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</si>
  <si>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</si>
  <si>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</si>
  <si>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</si>
  <si>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</si>
  <si>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</si>
  <si>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</si>
  <si>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</si>
  <si>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</si>
  <si>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</si>
  <si>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</si>
  <si>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</si>
  <si>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</si>
  <si>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</si>
  <si>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</si>
  <si>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</si>
  <si>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</si>
  <si>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</si>
  <si>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</si>
  <si>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</si>
  <si>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</si>
  <si>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</si>
  <si>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</si>
  <si>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</si>
  <si>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</si>
  <si>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</si>
  <si>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</si>
  <si>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</si>
  <si>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</si>
  <si>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</si>
  <si>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</si>
  <si>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</si>
  <si>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</si>
  <si>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</si>
  <si>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</si>
  <si>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</si>
  <si>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</si>
  <si>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</si>
  <si>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</si>
  <si>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</si>
  <si>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</si>
  <si>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</si>
  <si>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</si>
  <si>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</si>
  <si>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</si>
  <si>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</si>
  <si>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</si>
  <si>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</si>
  <si>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</si>
  <si>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</si>
  <si>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</si>
  <si>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</si>
  <si>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</si>
  <si>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</si>
  <si>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</si>
  <si>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</si>
  <si>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</si>
  <si>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</si>
  <si>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</si>
  <si>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</si>
  <si>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</si>
  <si>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</si>
  <si>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</si>
  <si>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</si>
  <si>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</si>
  <si>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</si>
  <si>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</si>
  <si>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</si>
  <si>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</si>
  <si>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</si>
  <si>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</si>
  <si>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</si>
  <si>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</si>
  <si>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</si>
  <si>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</si>
  <si>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</si>
  <si>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</si>
  <si>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</si>
  <si>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</si>
  <si>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</si>
  <si>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</si>
  <si>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</si>
  <si>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</si>
  <si>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</si>
  <si>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</si>
  <si>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</si>
  <si>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</si>
  <si>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</si>
  <si>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</si>
  <si>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</si>
  <si>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</si>
  <si>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</si>
  <si>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</si>
  <si>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</si>
  <si>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</si>
  <si>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</si>
  <si>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</si>
  <si>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</si>
  <si>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</si>
  <si>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</si>
  <si>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</si>
  <si>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</si>
  <si>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</si>
  <si>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</si>
  <si>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</si>
  <si>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</si>
  <si>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</si>
  <si>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</si>
  <si>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</si>
  <si>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</si>
  <si>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</si>
  <si>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</si>
  <si>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</si>
  <si>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</si>
  <si>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</si>
  <si>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</si>
  <si>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</si>
  <si>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</si>
  <si>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</si>
  <si>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</si>
  <si>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</si>
  <si>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</si>
  <si>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</si>
  <si>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</si>
  <si>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</si>
  <si>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</si>
  <si>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</si>
  <si>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</si>
  <si>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</si>
  <si>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</si>
  <si>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</si>
  <si>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</si>
  <si>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</si>
  <si>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</si>
  <si>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</si>
  <si>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</si>
  <si>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</si>
  <si>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</si>
  <si>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</si>
  <si>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</si>
  <si>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</si>
  <si>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</si>
  <si>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</si>
  <si>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</si>
  <si>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</si>
  <si>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</si>
  <si>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</si>
  <si>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</si>
  <si>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</si>
  <si>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</si>
  <si>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</si>
  <si>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</si>
  <si>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</si>
  <si>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</si>
  <si>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</si>
  <si>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</si>
  <si>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</si>
  <si>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</si>
  <si>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</si>
  <si>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</si>
  <si>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</si>
  <si>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</si>
  <si>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</si>
  <si>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</si>
  <si>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</si>
  <si>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</si>
  <si>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</si>
  <si>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</si>
  <si>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</si>
  <si>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</si>
  <si>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</si>
  <si>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</si>
  <si>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</si>
  <si>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</si>
  <si>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</si>
  <si>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</si>
  <si>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</si>
  <si>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</si>
  <si>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</si>
  <si>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</si>
  <si>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</si>
  <si>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</si>
  <si>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</si>
  <si>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</si>
  <si>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</si>
  <si>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</si>
  <si>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</si>
  <si>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</si>
  <si>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</si>
  <si>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</si>
  <si>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</si>
  <si>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</si>
  <si>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</si>
  <si>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</si>
  <si>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</si>
  <si>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</si>
  <si>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</si>
  <si>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</si>
  <si>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</si>
  <si>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</si>
  <si>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</si>
  <si>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</si>
  <si>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</si>
  <si>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</si>
  <si>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</si>
  <si>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</si>
  <si>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</si>
  <si>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</si>
  <si>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</si>
  <si>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</si>
  <si>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</si>
  <si>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</si>
  <si>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</si>
  <si>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</si>
  <si>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</si>
  <si>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</si>
  <si>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</si>
  <si>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</si>
  <si>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</si>
  <si>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</si>
  <si>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</si>
  <si>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</si>
  <si>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</si>
  <si>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</si>
  <si>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</si>
  <si>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</si>
  <si>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</si>
  <si>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</si>
  <si>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</si>
  <si>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</si>
  <si>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</si>
  <si>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</si>
  <si>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</si>
  <si>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</si>
  <si>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</si>
  <si>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</si>
  <si>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</si>
  <si>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</si>
  <si>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</si>
  <si>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</si>
  <si>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</si>
  <si>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</si>
  <si>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</si>
  <si>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</si>
  <si>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</si>
  <si>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</si>
  <si>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</si>
  <si>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</si>
  <si>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</si>
  <si>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</si>
  <si>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</si>
  <si>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</si>
  <si>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</si>
  <si>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</si>
  <si>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</si>
  <si>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</si>
  <si>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</si>
  <si>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</si>
  <si>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</si>
  <si>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</si>
  <si>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</si>
  <si>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</si>
  <si>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</si>
  <si>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</si>
  <si>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</si>
  <si>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</si>
  <si>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</si>
  <si>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</si>
  <si>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</si>
  <si>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</si>
  <si>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</si>
  <si>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</si>
  <si>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</si>
  <si>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</si>
  <si>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</si>
  <si>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</si>
  <si>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</si>
  <si>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</si>
  <si>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</si>
  <si>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</si>
  <si>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</si>
  <si>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</si>
  <si>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</si>
  <si>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</si>
  <si>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</si>
  <si>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</si>
  <si>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</si>
  <si>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</si>
  <si>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</si>
  <si>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</si>
  <si>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</si>
  <si>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</si>
  <si>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</si>
  <si>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</si>
  <si>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</si>
  <si>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</si>
  <si>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</si>
  <si>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</si>
  <si>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</si>
  <si>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</si>
  <si>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</si>
  <si>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</si>
  <si>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</si>
  <si>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</si>
  <si>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</si>
  <si>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</si>
  <si>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</si>
  <si>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</si>
  <si>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</si>
  <si>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</si>
  <si>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</si>
  <si>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</si>
  <si>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</si>
  <si>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</si>
  <si>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</si>
  <si>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</si>
  <si>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</si>
  <si>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</si>
  <si>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</si>
  <si>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</si>
  <si>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</si>
  <si>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</si>
  <si>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</si>
  <si>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</si>
  <si>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</si>
  <si>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</si>
  <si>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</si>
  <si>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</si>
  <si>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</si>
  <si>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</si>
  <si>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</si>
  <si>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</si>
  <si>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</si>
  <si>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</si>
  <si>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</si>
  <si>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</si>
  <si>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</si>
  <si>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</si>
  <si>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</si>
  <si>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</si>
  <si>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</si>
  <si>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</si>
  <si>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</si>
  <si>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</si>
  <si>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</si>
  <si>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</si>
  <si>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</si>
  <si>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</si>
  <si>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</si>
  <si>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</si>
  <si>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</si>
  <si>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</si>
  <si>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</si>
  <si>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</si>
  <si>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</si>
  <si>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</si>
  <si>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</si>
  <si>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</si>
  <si>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</si>
  <si>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</si>
  <si>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</si>
  <si>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</si>
  <si>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</si>
  <si>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</si>
  <si>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</si>
  <si>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</si>
  <si>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</si>
  <si>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</si>
  <si>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</si>
  <si>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</si>
  <si>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</si>
  <si>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</si>
  <si>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</si>
  <si>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</si>
  <si>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</si>
  <si>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</si>
  <si>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</si>
  <si>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</si>
  <si>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</si>
  <si>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</si>
  <si>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</si>
  <si>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</si>
  <si>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</si>
  <si>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</si>
  <si>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</si>
  <si>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</si>
  <si>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</si>
  <si>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</si>
  <si>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</si>
  <si>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</si>
  <si>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</si>
  <si>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</si>
  <si>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</si>
  <si>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</si>
  <si>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</si>
  <si>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</si>
  <si>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</si>
  <si>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</si>
  <si>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</si>
  <si>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</si>
  <si>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</si>
  <si>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</si>
  <si>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</si>
  <si>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</si>
  <si>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</si>
  <si>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</si>
  <si>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</si>
  <si>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</si>
  <si>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</si>
  <si>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</si>
  <si>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</si>
  <si>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</si>
  <si>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</si>
  <si>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</si>
  <si>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</si>
  <si>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</si>
  <si>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</si>
  <si>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</si>
  <si>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</si>
  <si>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</si>
  <si>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</si>
  <si>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</si>
  <si>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</si>
  <si>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</si>
  <si>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</si>
  <si>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</si>
  <si>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</si>
  <si>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</si>
  <si>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</si>
  <si>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</si>
  <si>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</si>
  <si>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</si>
  <si>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</si>
  <si>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</si>
  <si>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</si>
  <si>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</si>
  <si>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</si>
  <si>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</si>
  <si>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</si>
  <si>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</si>
  <si>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</si>
  <si>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</si>
  <si>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</si>
  <si>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</si>
  <si>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</si>
  <si>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</si>
  <si>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</si>
  <si>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</si>
  <si>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</si>
  <si>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</si>
  <si>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</si>
  <si>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</si>
  <si>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</si>
  <si>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</si>
  <si>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</si>
  <si>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</si>
  <si>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</si>
  <si>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</si>
  <si>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</si>
  <si>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</si>
  <si>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</si>
  <si>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</si>
  <si>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</si>
  <si>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</si>
  <si>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</si>
  <si>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</si>
  <si>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</si>
  <si>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</si>
  <si>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</si>
  <si>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</si>
  <si>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</si>
  <si>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</si>
  <si>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</si>
  <si>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</si>
  <si>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</si>
  <si>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</si>
  <si>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</si>
  <si>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</si>
  <si>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</si>
  <si>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</si>
  <si>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</si>
  <si>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</si>
  <si>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</si>
  <si>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</si>
  <si>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</si>
  <si>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</si>
  <si>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</si>
  <si>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</si>
  <si>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</si>
  <si>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</si>
  <si>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</si>
  <si>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</si>
  <si>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</si>
  <si>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</si>
  <si>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</si>
  <si>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</si>
  <si>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</si>
  <si>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</si>
  <si>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</si>
  <si>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</si>
  <si>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</si>
  <si>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</si>
  <si>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</si>
  <si>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</si>
  <si>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</si>
  <si>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</si>
  <si>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</si>
  <si>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</si>
  <si>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</si>
  <si>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</si>
  <si>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</si>
  <si>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</si>
  <si>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</si>
  <si>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</si>
  <si>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</si>
  <si>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</si>
  <si>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</si>
  <si>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</si>
  <si>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</si>
  <si>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</si>
  <si>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</si>
  <si>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</si>
  <si>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</si>
  <si>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</si>
  <si>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</si>
  <si>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</si>
  <si>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</si>
  <si>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</si>
  <si>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</si>
  <si>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</si>
  <si>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</si>
  <si>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</si>
  <si>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</si>
  <si>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</si>
  <si>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</si>
  <si>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</si>
  <si>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</si>
  <si>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</si>
  <si>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</si>
  <si>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</si>
  <si>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</si>
  <si>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</si>
  <si>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</si>
  <si>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</si>
  <si>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</si>
  <si>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</si>
  <si>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</si>
  <si>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</si>
  <si>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</si>
  <si>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</si>
  <si>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</si>
  <si>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</si>
  <si>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</si>
  <si>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</si>
  <si>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</si>
  <si>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</si>
  <si>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</si>
  <si>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</si>
  <si>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</si>
  <si>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</si>
  <si>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</si>
  <si>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</si>
  <si>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</si>
  <si>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</si>
  <si>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</si>
  <si>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</si>
  <si>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</si>
  <si>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</si>
  <si>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</si>
  <si>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</si>
  <si>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</si>
  <si>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</si>
  <si>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</si>
  <si>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</si>
  <si>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</si>
  <si>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</si>
  <si>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</si>
  <si>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</si>
  <si>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</si>
  <si>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</si>
  <si>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</si>
  <si>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</si>
  <si>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</si>
  <si>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</si>
  <si>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</si>
  <si>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</si>
  <si>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</si>
  <si>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</si>
  <si>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</si>
  <si>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</si>
  <si>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</si>
  <si>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</si>
  <si>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</si>
  <si>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</si>
  <si>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</si>
  <si>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</si>
  <si>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</si>
  <si>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</si>
  <si>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</si>
  <si>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</si>
  <si>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</si>
  <si>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</si>
  <si>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</si>
  <si>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</si>
  <si>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</si>
  <si>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</si>
  <si>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</si>
  <si>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</si>
  <si>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</si>
  <si>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</si>
  <si>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</si>
  <si>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</si>
  <si>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</si>
  <si>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</si>
  <si>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</si>
  <si>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</si>
  <si>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</si>
  <si>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</si>
  <si>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</si>
  <si>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</si>
  <si>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</si>
  <si>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</si>
  <si>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</si>
  <si>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</si>
  <si>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</si>
  <si>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</si>
  <si>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</si>
  <si>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</si>
  <si>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</si>
  <si>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</si>
  <si>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</si>
  <si>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</si>
  <si>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</si>
  <si>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</si>
  <si>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</si>
  <si>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</si>
  <si>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</si>
  <si>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</si>
  <si>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</si>
  <si>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</si>
  <si>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</si>
  <si>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</si>
  <si>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</si>
  <si>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</si>
  <si>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</si>
  <si>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</si>
  <si>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</si>
  <si>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</si>
  <si>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</si>
  <si>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</si>
  <si>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</si>
  <si>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</si>
  <si>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</si>
  <si>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</si>
  <si>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</si>
  <si>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</si>
  <si>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</si>
  <si>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</si>
  <si>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</si>
  <si>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</si>
  <si>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</si>
  <si>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</si>
  <si>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</si>
  <si>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</si>
  <si>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</si>
  <si>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</si>
  <si>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</si>
  <si>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</si>
  <si>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</si>
  <si>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</si>
  <si>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</si>
  <si>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</si>
  <si>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</si>
  <si>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</si>
  <si>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</si>
  <si>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</si>
  <si>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</si>
  <si>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</si>
  <si>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</si>
  <si>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</si>
  <si>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</si>
  <si>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</si>
  <si>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</si>
  <si>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</si>
  <si>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</si>
  <si>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</si>
  <si>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</si>
  <si>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</si>
  <si>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</si>
  <si>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</si>
  <si>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</si>
  <si>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</si>
  <si>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</si>
  <si>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</si>
  <si>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</si>
  <si>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</si>
  <si>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</si>
  <si>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</si>
  <si>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</si>
  <si>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</si>
  <si>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</si>
  <si>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</si>
  <si>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</si>
  <si>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</si>
  <si>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</si>
  <si>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</si>
  <si>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</si>
  <si>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</si>
  <si>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</si>
  <si>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</si>
  <si>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</si>
  <si>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</si>
  <si>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</si>
  <si>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</si>
  <si>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</si>
  <si>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</si>
  <si>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</si>
  <si>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</si>
  <si>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</si>
  <si>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</si>
  <si>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</si>
  <si>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</si>
  <si>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</si>
  <si>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</si>
  <si>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</si>
  <si>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</si>
  <si>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</si>
  <si>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</si>
  <si>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</si>
  <si>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</si>
  <si>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</si>
  <si>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</si>
  <si>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</si>
  <si>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</si>
  <si>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</si>
  <si>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</si>
  <si>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</si>
  <si>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</si>
  <si>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</si>
  <si>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</si>
  <si>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</si>
  <si>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</si>
  <si>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</si>
  <si>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</si>
  <si>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</si>
  <si>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</si>
  <si>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</si>
  <si>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</si>
  <si>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</si>
  <si>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</si>
  <si>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</si>
  <si>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</si>
  <si>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</si>
  <si>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</si>
  <si>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</si>
  <si>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</si>
  <si>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</si>
  <si>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</si>
  <si>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</si>
  <si>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</si>
  <si>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</si>
  <si>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</si>
  <si>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</si>
  <si>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</si>
  <si>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</si>
  <si>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</si>
  <si>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</si>
  <si>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</si>
  <si>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</si>
  <si>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</si>
  <si>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</si>
  <si>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</si>
  <si>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</si>
  <si>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</si>
  <si>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</si>
  <si>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</si>
  <si>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</si>
  <si>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</si>
  <si>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</si>
  <si>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</si>
  <si>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</si>
  <si>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</si>
  <si>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</si>
  <si>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</si>
  <si>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</si>
  <si>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</si>
  <si>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</si>
  <si>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</si>
  <si>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</si>
  <si>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</si>
  <si>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</si>
  <si>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</si>
  <si>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</si>
  <si>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</si>
  <si>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</si>
  <si>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</si>
  <si>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</si>
  <si>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</si>
  <si>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</si>
  <si>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</si>
  <si>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</si>
  <si>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</si>
  <si>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</si>
  <si>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</si>
  <si>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</si>
  <si>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</si>
  <si>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</si>
  <si>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</si>
  <si>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</si>
  <si>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</si>
  <si>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</si>
  <si>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</si>
  <si>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</si>
  <si>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</si>
  <si>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</si>
  <si>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</si>
  <si>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</si>
  <si>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</si>
  <si>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</si>
  <si>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</si>
  <si>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</si>
  <si>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</si>
  <si>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</si>
  <si>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</si>
  <si>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</si>
  <si>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</si>
  <si>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</si>
  <si>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</si>
  <si>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</si>
  <si>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</si>
  <si>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</si>
  <si>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</si>
  <si>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</si>
  <si>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</si>
  <si>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</si>
  <si>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</si>
  <si>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</si>
  <si>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</si>
  <si>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</si>
  <si>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</si>
  <si>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</si>
  <si>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</si>
  <si>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</si>
  <si>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</si>
  <si>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</si>
  <si>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</si>
  <si>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</si>
  <si>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</si>
  <si>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</si>
  <si>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</si>
  <si>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</si>
  <si>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</si>
  <si>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</si>
  <si>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</si>
  <si>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</si>
  <si>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</si>
  <si>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</si>
  <si>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</si>
  <si>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</si>
  <si>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</si>
  <si>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</si>
  <si>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</si>
  <si>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</si>
  <si>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</si>
  <si>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</si>
  <si>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</si>
  <si>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</si>
  <si>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</si>
  <si>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</si>
  <si>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</si>
  <si>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</si>
  <si>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</si>
  <si>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</si>
  <si>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</si>
  <si>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</si>
  <si>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</si>
  <si>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</si>
  <si>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</si>
  <si>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</si>
  <si>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</si>
  <si>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</si>
  <si>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</si>
  <si>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</si>
  <si>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</si>
  <si>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</si>
  <si>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</si>
  <si>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</si>
  <si>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</si>
  <si>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</si>
  <si>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</si>
  <si>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</si>
  <si>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</si>
  <si>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</si>
  <si>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</si>
  <si>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</si>
  <si>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</si>
  <si>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</si>
  <si>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</si>
  <si>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</si>
  <si>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</si>
  <si>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</si>
  <si>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</si>
  <si>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</si>
  <si>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</si>
  <si>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</si>
  <si>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</si>
  <si>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</si>
  <si>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</si>
  <si>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</si>
  <si>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</si>
  <si>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</si>
  <si>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</si>
  <si>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</si>
  <si>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</si>
  <si>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</si>
  <si>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</si>
  <si>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</si>
  <si>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</si>
  <si>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</si>
  <si>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</si>
  <si>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</si>
  <si>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</si>
  <si>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</si>
  <si>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</si>
  <si>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</si>
  <si>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</si>
  <si>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</si>
  <si>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</si>
  <si>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</si>
  <si>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</si>
  <si>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</si>
  <si>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</si>
  <si>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</si>
  <si>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</si>
  <si>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</si>
  <si>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</si>
  <si>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</si>
  <si>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</si>
  <si>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</si>
  <si>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</si>
  <si>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</si>
  <si>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</si>
  <si>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</si>
  <si>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</si>
  <si>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</si>
  <si>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</si>
  <si>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</si>
  <si>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</si>
  <si>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</si>
  <si>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</si>
  <si>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</si>
  <si>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</si>
  <si>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</si>
  <si>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</si>
  <si>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</si>
  <si>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</si>
  <si>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</si>
  <si>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</si>
  <si>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</si>
  <si>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</si>
  <si>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</si>
  <si>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</si>
  <si>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</si>
  <si>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</si>
  <si>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</si>
  <si>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</si>
  <si>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</si>
  <si>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</si>
  <si>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</si>
  <si>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</si>
  <si>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</si>
  <si>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</si>
  <si>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</si>
  <si>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</si>
  <si>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</si>
  <si>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</si>
  <si>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</si>
  <si>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</si>
  <si>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</si>
  <si>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</si>
  <si>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</si>
  <si>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</si>
  <si>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</si>
  <si>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</si>
  <si>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</si>
  <si>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</si>
  <si>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</si>
  <si>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</si>
  <si>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</si>
  <si>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</si>
  <si>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</si>
  <si>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</si>
  <si>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</si>
  <si>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</si>
  <si>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</si>
  <si>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</si>
  <si>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</si>
  <si>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</si>
  <si>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</si>
  <si>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</si>
  <si>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</si>
  <si>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</si>
  <si>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</si>
  <si>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</si>
  <si>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</si>
  <si>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</si>
  <si>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</si>
  <si>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</si>
  <si>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</si>
  <si>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</si>
  <si>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</si>
  <si>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</si>
  <si>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</si>
  <si>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</si>
  <si>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</si>
  <si>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</si>
  <si>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</si>
  <si>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</si>
  <si>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</si>
  <si>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</si>
  <si>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</si>
  <si>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</si>
  <si>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</si>
  <si>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</si>
  <si>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</si>
  <si>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</si>
  <si>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</si>
  <si>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</si>
  <si>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</si>
  <si>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</si>
  <si>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</si>
  <si>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</si>
  <si>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</si>
  <si>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</si>
  <si>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</si>
  <si>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</si>
  <si>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</si>
  <si>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</si>
  <si>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</si>
  <si>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</si>
  <si>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</si>
  <si>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</si>
  <si>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</si>
  <si>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</si>
  <si>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</si>
  <si>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</si>
  <si>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</si>
  <si>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</si>
  <si>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</si>
  <si>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</si>
  <si>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</si>
  <si>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</si>
  <si>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</si>
  <si>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</si>
  <si>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</si>
  <si>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</si>
  <si>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</si>
  <si>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</si>
  <si>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</si>
  <si>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</si>
  <si>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</si>
  <si>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</si>
  <si>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</si>
  <si>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</si>
  <si>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</si>
  <si>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</si>
  <si>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</si>
  <si>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</si>
  <si>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</si>
  <si>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</si>
  <si>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</si>
  <si>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</si>
  <si>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</si>
  <si>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</si>
  <si>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</si>
  <si>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</si>
  <si>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</si>
  <si>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</si>
  <si>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</si>
  <si>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</si>
  <si>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</si>
  <si>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</si>
  <si>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</si>
  <si>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</si>
  <si>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</si>
  <si>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</si>
  <si>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</si>
  <si>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</si>
  <si>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</si>
  <si>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</si>
  <si>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</si>
  <si>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</si>
  <si>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</si>
  <si>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</si>
  <si>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</si>
  <si>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</si>
  <si>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</si>
  <si>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</si>
  <si>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</si>
  <si>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</si>
  <si>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</si>
  <si>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</si>
  <si>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</si>
  <si>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</si>
  <si>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</si>
  <si>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</si>
  <si>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</si>
  <si>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</si>
  <si>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</si>
  <si>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</si>
  <si>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</si>
  <si>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</si>
  <si>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</si>
  <si>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</si>
  <si>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</si>
  <si>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</si>
  <si>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</si>
  <si>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</si>
  <si>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</si>
  <si>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</si>
  <si>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</si>
  <si>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</si>
  <si>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</si>
  <si>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</si>
  <si>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</si>
  <si>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</si>
  <si>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</si>
  <si>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</si>
  <si>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</si>
  <si>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</si>
  <si>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</si>
  <si>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</si>
  <si>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</si>
  <si>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</si>
  <si>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</si>
  <si>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</si>
  <si>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</si>
  <si>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</si>
  <si>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</si>
  <si>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</si>
  <si>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</si>
  <si>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</si>
  <si>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</si>
  <si>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</si>
  <si>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</si>
  <si>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</si>
  <si>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</si>
  <si>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</si>
  <si>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</si>
  <si>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</si>
  <si>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</si>
  <si>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</si>
  <si>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</si>
  <si>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</si>
  <si>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</si>
  <si>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</si>
  <si>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</si>
  <si>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</si>
  <si>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</si>
  <si>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</si>
  <si>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</si>
  <si>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</si>
  <si>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</si>
  <si>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</si>
  <si>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</si>
  <si>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</si>
  <si>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</si>
  <si>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</si>
  <si>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</si>
  <si>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</si>
  <si>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</si>
  <si>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</si>
  <si>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</si>
  <si>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</si>
  <si>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</si>
  <si>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</si>
  <si>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</si>
  <si>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</si>
  <si>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</si>
  <si>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</si>
  <si>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</si>
  <si>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</si>
  <si>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</si>
  <si>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</si>
  <si>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</si>
  <si>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</si>
  <si>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</si>
  <si>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</si>
  <si>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</si>
  <si>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</si>
  <si>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</si>
  <si>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</si>
  <si>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</si>
  <si>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</si>
  <si>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</si>
  <si>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</si>
  <si>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</si>
  <si>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</si>
  <si>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</si>
  <si>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</si>
  <si>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</si>
  <si>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</si>
  <si>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</si>
  <si>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</si>
  <si>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</si>
  <si>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</si>
  <si>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</si>
  <si>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</si>
  <si>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</si>
  <si>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</si>
  <si>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</si>
  <si>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</si>
  <si>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</si>
  <si>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</si>
  <si>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</si>
  <si>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</si>
  <si>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</si>
  <si>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</si>
  <si>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</si>
  <si>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</si>
  <si>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</si>
  <si>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</si>
  <si>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</si>
  <si>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</si>
  <si>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</si>
  <si>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</si>
  <si>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</si>
  <si>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</si>
  <si>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</si>
  <si>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</si>
  <si>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</si>
  <si>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</si>
  <si>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</si>
  <si>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</si>
  <si>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</si>
  <si>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</si>
  <si>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</si>
  <si>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</si>
  <si>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</si>
  <si>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</si>
  <si>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</si>
  <si>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</si>
  <si>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</si>
  <si>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</si>
  <si>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</si>
  <si>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</si>
  <si>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</si>
  <si>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</si>
  <si>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</si>
  <si>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</si>
  <si>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</si>
  <si>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</si>
  <si>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</si>
  <si>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</si>
  <si>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</si>
  <si>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</si>
  <si>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</si>
  <si>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</si>
  <si>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</si>
  <si>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</si>
  <si>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</si>
  <si>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</si>
  <si>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</si>
  <si>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</si>
  <si>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</si>
  <si>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</si>
  <si>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</si>
  <si>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</si>
  <si>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</si>
  <si>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</si>
  <si>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</si>
  <si>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</si>
  <si>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</si>
  <si>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</si>
  <si>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</si>
  <si>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</si>
  <si>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</si>
  <si>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</si>
  <si>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</si>
  <si>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</si>
  <si>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</si>
  <si>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</si>
  <si>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</si>
  <si>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</si>
  <si>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</si>
  <si>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</si>
  <si>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</si>
  <si>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</si>
  <si>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</si>
  <si>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</si>
  <si>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</si>
  <si>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</si>
  <si>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</si>
  <si>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</si>
  <si>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</si>
  <si>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</si>
  <si>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</si>
  <si>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</si>
  <si>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</si>
  <si>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</si>
  <si>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</si>
  <si>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</si>
  <si>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</si>
  <si>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</si>
  <si>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</si>
  <si>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</si>
  <si>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</si>
  <si>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</si>
  <si>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</si>
  <si>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</si>
  <si>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</si>
  <si>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</si>
  <si>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</si>
  <si>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</si>
  <si>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</si>
  <si>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</si>
  <si>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</si>
  <si>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</si>
  <si>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</si>
  <si>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</si>
  <si>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</si>
  <si>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</si>
  <si>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</si>
  <si>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</si>
  <si>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</si>
  <si>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</si>
  <si>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</si>
  <si>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</si>
  <si>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</si>
  <si>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</si>
  <si>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</si>
  <si>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</si>
  <si>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</si>
  <si>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</si>
  <si>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</si>
  <si>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</si>
  <si>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</si>
  <si>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</si>
  <si>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</si>
  <si>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</si>
  <si>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</si>
  <si>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</si>
  <si>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</si>
  <si>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</si>
  <si>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</si>
  <si>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</si>
  <si>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</si>
  <si>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</si>
  <si>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</si>
  <si>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</si>
  <si>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</si>
  <si>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</si>
  <si>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</si>
  <si>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</si>
  <si>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</si>
  <si>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</si>
  <si>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</si>
  <si>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</si>
  <si>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</si>
  <si>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</si>
  <si>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</si>
  <si>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</si>
  <si>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</si>
  <si>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</si>
  <si>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</si>
  <si>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</si>
  <si>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</si>
  <si>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</si>
  <si>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</si>
  <si>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</si>
  <si>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</si>
  <si>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</si>
  <si>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</si>
  <si>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</si>
  <si>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</si>
  <si>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</si>
  <si>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</si>
  <si>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</si>
  <si>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</si>
  <si>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</si>
  <si>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</si>
  <si>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</si>
  <si>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</si>
  <si>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</si>
  <si>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</si>
  <si>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</si>
  <si>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</si>
  <si>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</si>
  <si>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</si>
  <si>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</si>
  <si>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</si>
  <si>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</si>
  <si>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</si>
  <si>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</si>
  <si>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</si>
  <si>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</si>
  <si>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</si>
  <si>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</si>
  <si>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</si>
  <si>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</si>
  <si>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</si>
  <si>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</si>
  <si>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</si>
  <si>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</si>
  <si>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</si>
  <si>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</si>
  <si>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</si>
  <si>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</si>
  <si>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</si>
  <si>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</si>
  <si>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</si>
  <si>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</si>
  <si>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</si>
  <si>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</si>
  <si>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</si>
  <si>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</si>
  <si>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</si>
  <si>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</si>
  <si>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</si>
  <si>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</si>
  <si>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</si>
  <si>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</si>
  <si>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</si>
  <si>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</si>
  <si>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</si>
  <si>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</si>
  <si>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</si>
  <si>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</si>
  <si>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</si>
  <si>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</si>
  <si>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</si>
  <si>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</si>
  <si>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</si>
  <si>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</si>
  <si>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</si>
  <si>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</si>
  <si>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</si>
  <si>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</si>
  <si>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</si>
  <si>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</si>
  <si>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</si>
  <si>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</si>
  <si>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</si>
  <si>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</si>
  <si>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</si>
  <si>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</si>
  <si>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</si>
  <si>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</si>
  <si>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</si>
  <si>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</si>
  <si>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</si>
  <si>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</si>
  <si>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</si>
  <si>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</si>
  <si>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</si>
  <si>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</si>
  <si>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</si>
  <si>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</si>
  <si>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</si>
  <si>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</si>
  <si>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</si>
  <si>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</si>
  <si>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</si>
  <si>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</si>
  <si>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</si>
  <si>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</si>
  <si>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</si>
  <si>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</si>
  <si>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</si>
  <si>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</si>
  <si>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</si>
  <si>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</si>
  <si>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</si>
  <si>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</si>
  <si>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</si>
  <si>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</si>
  <si>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</si>
  <si>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</si>
  <si>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</si>
  <si>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</si>
  <si>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</si>
  <si>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</si>
  <si>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</si>
  <si>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</si>
  <si>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</si>
  <si>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</si>
  <si>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</si>
  <si>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</si>
  <si>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</si>
  <si>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</si>
  <si>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</si>
  <si>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</si>
  <si>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</si>
  <si>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</si>
  <si>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</si>
  <si>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</si>
  <si>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</si>
  <si>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</si>
  <si>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</si>
  <si>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</si>
  <si>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</si>
  <si>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</si>
  <si>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</si>
  <si>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</si>
  <si>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</si>
  <si>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</si>
  <si>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GEOFFROY SEVENO, SYLVIE DAL DEGAN</t>
  </si>
  <si>
    <t xml:space="preserve">ASSE</t>
  </si>
  <si>
    <t xml:space="preserve">ASSE A BEYNES 1</t>
  </si>
  <si>
    <t xml:space="preserve">06159385</t>
  </si>
  <si>
    <t xml:space="preserve">(Date)</t>
  </si>
  <si>
    <t xml:space="preserve">19/07/2016</t>
  </si>
  <si>
    <t xml:space="preserve">Résultats</t>
  </si>
  <si>
    <t xml:space="preserve">Robustesse:</t>
  </si>
  <si>
    <t xml:space="preserve">Unité(s) de relevé</t>
  </si>
  <si>
    <t xml:space="preserve">UR1</t>
  </si>
  <si>
    <t xml:space="preserve">UR2</t>
  </si>
  <si>
    <t xml:space="preserve">Faciès dominant</t>
  </si>
  <si>
    <t xml:space="preserve">radier</t>
  </si>
  <si>
    <t xml:space="preserve">niveau trophique</t>
  </si>
  <si>
    <t xml:space="preserve">moyen</t>
  </si>
  <si>
    <t xml:space="preserve">très élevé</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</si>
  <si>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</si>
  <si>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</si>
  <si>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</si>
  <si>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</si>
  <si>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</si>
  <si>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</si>
  <si>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</si>
  <si>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</si>
  <si>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</si>
  <si>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absent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</si>
  <si>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</si>
  <si>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</si>
  <si>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</si>
  <si>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</si>
  <si>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</si>
  <si>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</si>
  <si>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</si>
  <si>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</si>
  <si>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</si>
  <si>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</si>
  <si>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</si>
  <si>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</si>
  <si>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</si>
  <si>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</si>
  <si>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</si>
  <si>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</si>
  <si>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</si>
  <si>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</si>
  <si>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</si>
  <si>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</si>
  <si>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</si>
  <si>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</si>
  <si>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</si>
  <si>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</si>
  <si>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</si>
  <si>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</si>
  <si>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</si>
  <si>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</si>
  <si>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</si>
  <si>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</si>
  <si>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</si>
  <si>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</si>
  <si>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</si>
  <si>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</si>
  <si>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</si>
  <si>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</si>
  <si>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</si>
  <si>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</si>
  <si>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</si>
  <si>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</si>
  <si>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</si>
  <si>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</si>
  <si>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</si>
  <si>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</si>
  <si>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</si>
  <si>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</si>
  <si>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</si>
  <si>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</si>
  <si>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</si>
  <si>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</si>
  <si>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</si>
  <si>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</si>
  <si>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</si>
  <si>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</si>
  <si>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</si>
  <si>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</si>
  <si>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</si>
  <si>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</si>
  <si>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</si>
  <si>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</si>
  <si>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</si>
  <si>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</si>
  <si>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</si>
  <si>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</si>
  <si>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</si>
  <si>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</si>
  <si>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</si>
  <si>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</si>
  <si>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</si>
  <si>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</si>
  <si>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</si>
  <si>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</si>
  <si>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</si>
  <si>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</si>
  <si>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</si>
  <si>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</si>
  <si>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</si>
  <si>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mouille</t>
  </si>
  <si>
    <t xml:space="preserve">pl. lent</t>
  </si>
  <si>
    <t xml:space="preserve">f. de dissipation</t>
  </si>
  <si>
    <t xml:space="preserve">autre</t>
  </si>
  <si>
    <t xml:space="preserve">Confer</t>
  </si>
  <si>
    <t xml:space="preserve">Cf.</t>
  </si>
  <si>
    <t xml:space="preserve">périphyton</t>
  </si>
  <si>
    <t xml:space="preserve">peu abondant</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</si>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</sst>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n">
        <v>9201</v>
      </c>
      <c r="O3" s="302"/>
      <c r="P3" s="302"/>
      <c r="Q3" s="303"/>
      <c r="R3" s="281"/>
      <c r="S3" s="281"/>
      <c r="T3" s="281"/>
      <c r="U3" s="281"/>
      <c r="V3" s="281"/>
      <c r="W3" s="295"/>
      <c r="X3" s="0"/>
      <c r="Y3" s="0"/>
      <c r="Z3" s="0"/>
    </row>
    <row r="4" customFormat="false" ht="13.5" hidden="false" customHeight="false" outlineLevel="0" collapsed="false">
      <c r="A4" s="304" t="s">
        <v>3381</v>
      </c>
      <c r="B4" s="305" t="s">
        <v>3382</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11.25</v>
      </c>
      <c r="N5" s="324"/>
      <c r="O5" s="325" t="s">
        <v>398</v>
      </c>
      <c r="P5" s="326" t="n">
        <v>6</v>
      </c>
      <c r="Q5" s="327"/>
      <c r="R5" s="281"/>
      <c r="S5" s="281"/>
      <c r="T5" s="281"/>
      <c r="U5" s="281"/>
      <c r="V5" s="281"/>
      <c r="W5" s="295"/>
      <c r="X5" s="0"/>
      <c r="Y5" s="0"/>
      <c r="Z5" s="0"/>
    </row>
    <row r="6" customFormat="false" ht="13.5" hidden="false" customHeight="false" outlineLevel="0" collapsed="false">
      <c r="A6" s="314" t="s">
        <v>3388</v>
      </c>
      <c r="B6" s="328" t="s">
        <v>3389</v>
      </c>
      <c r="C6" s="329"/>
      <c r="D6" s="330"/>
      <c r="E6" s="330"/>
      <c r="F6" s="331"/>
      <c r="G6" s="319"/>
      <c r="H6" s="317"/>
      <c r="I6" s="281"/>
      <c r="J6" s="332"/>
      <c r="K6" s="333"/>
      <c r="L6" s="334" t="s">
        <v>3390</v>
      </c>
      <c r="M6" s="335" t="s">
        <v>3391</v>
      </c>
      <c r="N6" s="336"/>
      <c r="O6" s="337" t="n">
        <v>1</v>
      </c>
      <c r="P6" s="338" t="s">
        <v>3392</v>
      </c>
      <c r="Q6" s="339"/>
      <c r="R6" s="281"/>
      <c r="S6" s="281"/>
      <c r="T6" s="281"/>
      <c r="U6" s="281"/>
      <c r="V6" s="281"/>
      <c r="W6" s="295"/>
      <c r="X6" s="0"/>
      <c r="Y6" s="0"/>
      <c r="Z6" s="0"/>
    </row>
    <row r="7" customFormat="false" ht="12.75" hidden="false" customHeight="false" outlineLevel="0" collapsed="false">
      <c r="A7" s="340" t="s">
        <v>3393</v>
      </c>
      <c r="B7" s="341" t="n">
        <v>100</v>
      </c>
      <c r="C7" s="342"/>
      <c r="D7" s="330"/>
      <c r="E7" s="330"/>
      <c r="F7" s="343" t="n">
        <f aca="false">B7+C7</f>
        <v>100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9.5</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3399</v>
      </c>
      <c r="B9" s="358" t="n">
        <v>1</v>
      </c>
      <c r="C9" s="359"/>
      <c r="D9" s="360"/>
      <c r="E9" s="360"/>
      <c r="F9" s="361" t="n">
        <f aca="false">($B9*$B$7+$C9*$C$7)/100</f>
        <v>1</v>
      </c>
      <c r="G9" s="362"/>
      <c r="H9" s="317"/>
      <c r="I9" s="281"/>
      <c r="J9" s="363"/>
      <c r="K9" s="364"/>
      <c r="L9" s="347"/>
      <c r="M9" s="365"/>
      <c r="N9" s="355" t="s">
        <v>3400</v>
      </c>
      <c r="O9" s="356" t="n">
        <f aca="false">IF(ISERROR(STDEVP(J23:J82))," ",STDEVP(J23:J82))</f>
        <v>3.5</v>
      </c>
      <c r="P9" s="356" t="n">
        <f aca="false">IF(ISERROR(STDEVP(K23:K82)),"  ",STDEVP(K23:K82))</f>
        <v>1</v>
      </c>
      <c r="Q9" s="357"/>
      <c r="R9" s="281"/>
      <c r="S9" s="281"/>
      <c r="T9" s="281"/>
      <c r="U9" s="281"/>
      <c r="V9" s="281"/>
      <c r="W9" s="295"/>
      <c r="X9" s="0"/>
      <c r="Y9" s="0"/>
      <c r="Z9" s="0"/>
    </row>
    <row r="10" customFormat="false" ht="12.75" hidden="false" customHeight="false" outlineLevel="0" collapsed="false">
      <c r="A10" s="314" t="s">
        <v>3401</v>
      </c>
      <c r="B10" s="366" t="s">
        <v>3402</v>
      </c>
      <c r="C10" s="367"/>
      <c r="D10" s="360"/>
      <c r="E10" s="360"/>
      <c r="F10" s="361"/>
      <c r="G10" s="362"/>
      <c r="H10" s="330"/>
      <c r="I10" s="281"/>
      <c r="J10" s="368"/>
      <c r="K10" s="369" t="s">
        <v>3403</v>
      </c>
      <c r="L10" s="370"/>
      <c r="M10" s="371"/>
      <c r="N10" s="355" t="s">
        <v>3404</v>
      </c>
      <c r="O10" s="372" t="n">
        <f aca="false">MIN(J23:J82)</f>
        <v>6</v>
      </c>
      <c r="P10" s="372" t="n">
        <f aca="false">MIN(K23:K82)</f>
        <v>1</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13</v>
      </c>
      <c r="P11" s="372" t="n">
        <f aca="false">MAX(K23:K82)</f>
        <v>3</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3</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1</v>
      </c>
      <c r="M13" s="381"/>
      <c r="N13" s="389" t="s">
        <v>3412</v>
      </c>
      <c r="O13" s="390" t="n">
        <f aca="false">COUNTIF(F23:F82,"&gt;0")</f>
        <v>4</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0</v>
      </c>
      <c r="M14" s="381"/>
      <c r="N14" s="392" t="s">
        <v>3415</v>
      </c>
      <c r="O14" s="393" t="n">
        <f aca="false">COUNTIF($J$23:$J$82,"&gt;-1")</f>
        <v>2</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0</v>
      </c>
      <c r="M15" s="381"/>
      <c r="N15" s="389" t="s">
        <v>3418</v>
      </c>
      <c r="O15" s="390" t="n">
        <f aca="false">COUNTIF(K23:K82,"=1")</f>
        <v>1</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0</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n">
        <f aca="false">IF(ISERROR((O13-(COUNTIF(J23:J82,"nc")))/O13),"-",(O13-(COUNTIF(J23:J82,"nc")))/O13)</f>
        <v>0.5</v>
      </c>
      <c r="N17" s="389" t="s">
        <v>3423</v>
      </c>
      <c r="O17" s="390" t="n">
        <f aca="false">COUNTIF(K23:K82,"=3")</f>
        <v>1</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1.015</v>
      </c>
      <c r="C20" s="433" t="n">
        <f aca="false">SUM(C23:C82)</f>
        <v>0</v>
      </c>
      <c r="D20" s="434"/>
      <c r="E20" s="435" t="s">
        <v>3425</v>
      </c>
      <c r="F20" s="436" t="n">
        <f aca="false">($B20*$B$7+$C20*$C$7)/100</f>
        <v>1.015</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1.015</v>
      </c>
      <c r="C21" s="444" t="n">
        <f aca="false">C20*C7/100</f>
        <v>0</v>
      </c>
      <c r="D21" s="445" t="s">
        <v>3428</v>
      </c>
      <c r="E21" s="446"/>
      <c r="F21" s="447" t="n">
        <f aca="false">B21+C21</f>
        <v>1.015</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134</v>
      </c>
      <c r="B23" s="472" t="n">
        <v>0.005</v>
      </c>
      <c r="C23" s="473"/>
      <c r="D23" s="474" t="str">
        <f aca="false">IF(ISERROR(VLOOKUP($A23,'liste reference'!$A$6:$B$1174,2,0)),IF(ISERROR(VLOOKUP($A23,'liste reference'!$B$6:$B$1174,1,0)),"",VLOOKUP($A23,'liste reference'!$B$6:$B$1174,1,0)),VLOOKUP($A23,'liste reference'!$A$6:$B$1174,2,0))</f>
        <v>Cladophora sp.</v>
      </c>
      <c r="E23" s="475" t="e">
        <f aca="false">IF(D23="",0,VLOOKUP(D23,D$22:D22,1,0))</f>
        <v>#N/A</v>
      </c>
      <c r="F23" s="476" t="n">
        <f aca="false">IF(AND(OR(A23="",A23="!!!!!!"),B23="",C23=""),"",IF(OR(AND(B23="",C23=""),ISERROR(C23+B23)),"!!!",($B23*$B$7+$C23*$C$7)/100))</f>
        <v>0.005</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6</v>
      </c>
      <c r="K23" s="479" t="n">
        <f aca="false">IF(ISNUMBER($H23),IF(ISERROR(VLOOKUP($A23,'liste reference'!$A$6:$Q$1174,7,0)),IF(ISERROR(VLOOKUP($A23,'liste reference'!$B$6:$Q$1174,6,0)),"nu",VLOOKUP($A23,'liste reference'!$B$6:$Q$1174,6,0)),VLOOKUP($A23,'liste reference'!$A$6:$Q$1174,7,0)),"nu")</f>
        <v>1</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Cladophora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1124</v>
      </c>
      <c r="R23" s="484" t="n">
        <f aca="false">IF(ISTEXT(H23),"",(B23*$B$7/100)+(C23*$C$7/100))</f>
        <v>0.005</v>
      </c>
      <c r="S23" s="485" t="n">
        <f aca="false">IF(OR(ISTEXT(H23),R23=0),"",IF(R23&lt;0.1,1,IF(R23&lt;1,2,IF(R23&lt;10,3,IF(R23&lt;50,4,IF(R23&gt;=50,5,""))))))</f>
        <v>1</v>
      </c>
      <c r="T23" s="485" t="n">
        <f aca="false">IF(ISERROR(S23*J23),0,S23*J23)</f>
        <v>6</v>
      </c>
      <c r="U23" s="485" t="n">
        <f aca="false">IF(ISERROR(S23*J23*K23),0,S23*J23*K23)</f>
        <v>6</v>
      </c>
      <c r="V23" s="485" t="n">
        <f aca="false">IF(ISERROR(S23*K23),0,S23*K23)</f>
        <v>1</v>
      </c>
      <c r="W23" s="486"/>
      <c r="X23" s="487"/>
      <c r="Y23" s="488" t="str">
        <f aca="false">IF(AND(ISNUMBER(F23),OR(A23="",A23="!!!!!!")),"!!!!!!",IF(A23="new.cod","NEWCOD",IF(AND((Z23=""),ISTEXT(A23),A23&lt;&gt;"!!!!!!"),A23,IF(Z23="","",INDEX('liste reference'!$A$6:$A$1174,Z23)))))</f>
        <v>CLASPX</v>
      </c>
      <c r="Z23" s="470" t="n">
        <f aca="false">IF(ISERROR(MATCH(A23,'liste reference'!$A$6:$A$1174,0)),IF(ISERROR(MATCH(A23,'liste reference'!$B$6:$B$1174,0)),"",(MATCH(A23,'liste reference'!$B$6:$B$1174,0))),(MATCH(A23,'liste reference'!$A$6:$A$1174,0)))</f>
        <v>35</v>
      </c>
    </row>
    <row r="24" customFormat="false" ht="12.75" hidden="false" customHeight="false" outlineLevel="0" collapsed="false">
      <c r="A24" s="489" t="s">
        <v>330</v>
      </c>
      <c r="B24" s="490" t="n">
        <v>1</v>
      </c>
      <c r="C24" s="491"/>
      <c r="D24" s="492" t="str">
        <f aca="false">IF(ISERROR(VLOOKUP($A24,'liste reference'!$A$6:$B$1174,2,0)),IF(ISERROR(VLOOKUP($A24,'liste reference'!$B$6:$B$1174,1,0)),"",VLOOKUP($A24,'liste reference'!$B$6:$B$1174,1,0)),VLOOKUP($A24,'liste reference'!$A$6:$B$1174,2,0))</f>
        <v>Rivularia sp.</v>
      </c>
      <c r="E24" s="493" t="e">
        <f aca="false">IF(D24="",0,VLOOKUP(D24,D$22:D23,1,0))</f>
        <v>#N/A</v>
      </c>
      <c r="F24" s="494" t="n">
        <f aca="false">IF(AND(OR(A24="",A24="!!!!!!"),B24="",C24=""),"",IF(OR(AND(B24="",C24=""),ISERROR(C24+B24)),"!!!",($B24*$B$7+$C24*$C$7)/100))</f>
        <v>1</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str">
        <f aca="false">IF(ISNUMBER($H24),IF(ISERROR(VLOOKUP($A24,'liste reference'!$A$6:$Q$1174,6,0)),IF(ISERROR(VLOOKUP($A24,'liste reference'!$B$6:$Q$1174,5,0)),"nu",VLOOKUP($A24,'liste reference'!$B$6:$Q$1174,5,0)),VLOOKUP($A24,'liste reference'!$A$6:$Q$1174,6,0)),"nu")</f>
        <v>nc</v>
      </c>
      <c r="K24" s="497" t="str">
        <f aca="false">IF(ISNUMBER($H24),IF(ISERROR(VLOOKUP($A24,'liste reference'!$A$6:$Q$1174,7,0)),IF(ISERROR(VLOOKUP($A24,'liste reference'!$B$6:$Q$1174,6,0)),"nu",VLOOKUP($A24,'liste reference'!$B$6:$Q$1174,6,0)),VLOOKUP($A24,'liste reference'!$A$6:$Q$1174,7,0)),"nu")</f>
        <v>nc</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Rivularia sp.</v>
      </c>
      <c r="M24" s="498"/>
      <c r="N24" s="498"/>
      <c r="O24" s="498"/>
      <c r="P24" s="499" t="s">
        <v>3448</v>
      </c>
      <c r="Q24" s="500" t="n">
        <f aca="false">IF(OR($A24="NEWCOD",$A24="!!!!!!"),IF(X24="","NoCod",X24),IF($A24="","",IF(ISERROR(VLOOKUP($A24,'liste reference'!$A$6:$H$1174,8,0)),IF(ISERROR(VLOOKUP($A24,'liste reference'!$B$6:$H$1174,7,0)),"",VLOOKUP($A24,'liste reference'!$B$6:$H$1174,7,0)),VLOOKUP($A24,'liste reference'!$A$6:$H$1174,8,0))))</f>
        <v>6300</v>
      </c>
      <c r="R24" s="484" t="n">
        <f aca="false">IF(ISTEXT(H24),"",(B24*$B$7/100)+(C24*$C$7/100))</f>
        <v>1</v>
      </c>
      <c r="S24" s="485" t="n">
        <f aca="false">IF(OR(ISTEXT(H24),R24=0),"",IF(R24&lt;0.1,1,IF(R24&lt;1,2,IF(R24&lt;10,3,IF(R24&lt;50,4,IF(R24&gt;=50,5,""))))))</f>
        <v>3</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RIVSPX</v>
      </c>
      <c r="Z24" s="470" t="n">
        <f aca="false">IF(ISERROR(MATCH(A24,'liste reference'!$A$6:$A$1174,0)),IF(ISERROR(MATCH(A24,'liste reference'!$B$6:$B$1174,0)),"",(MATCH(A24,'liste reference'!$B$6:$B$1174,0))),(MATCH(A24,'liste reference'!$A$6:$A$1174,0)))</f>
        <v>96</v>
      </c>
    </row>
    <row r="25" customFormat="false" ht="12.75" hidden="false" customHeight="false" outlineLevel="0" collapsed="false">
      <c r="A25" s="489" t="s">
        <v>398</v>
      </c>
      <c r="B25" s="490" t="n">
        <v>0.005</v>
      </c>
      <c r="C25" s="491"/>
      <c r="D25" s="492" t="str">
        <f aca="false">IF(ISERROR(VLOOKUP($A25,'liste reference'!$A$6:$B$1174,2,0)),IF(ISERROR(VLOOKUP($A25,'liste reference'!$B$6:$B$1174,1,0)),"",VLOOKUP($A25,'liste reference'!$B$6:$B$1174,1,0)),VLOOKUP($A25,'liste reference'!$A$6:$B$1174,2,0))</f>
        <v>Zygnema sp.</v>
      </c>
      <c r="E25" s="493" t="e">
        <f aca="false">IF(D25="",0,VLOOKUP(D25,D$22:D24,1,0))</f>
        <v>#N/A</v>
      </c>
      <c r="F25" s="494" t="n">
        <f aca="false">IF(AND(OR(A25="",A25="!!!!!!"),B25="",C25=""),"",IF(OR(AND(B25="",C25=""),ISERROR(C25+B25)),"!!!",($B25*$B$7+$C25*$C$7)/100))</f>
        <v>0.005</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13</v>
      </c>
      <c r="K25" s="497" t="n">
        <f aca="false">IF(ISNUMBER($H25),IF(ISERROR(VLOOKUP($A25,'liste reference'!$A$6:$Q$1174,7,0)),IF(ISERROR(VLOOKUP($A25,'liste reference'!$B$6:$Q$1174,6,0)),"nu",VLOOKUP($A25,'liste reference'!$B$6:$Q$1174,6,0)),VLOOKUP($A25,'liste reference'!$A$6:$Q$1174,7,0)),"nu")</f>
        <v>3</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Zygnema sp.</v>
      </c>
      <c r="M25" s="498"/>
      <c r="N25" s="498"/>
      <c r="O25" s="498"/>
      <c r="P25" s="499" t="s">
        <v>3448</v>
      </c>
      <c r="Q25" s="500" t="n">
        <f aca="false">IF(OR($A25="NEWCOD",$A25="!!!!!!"),IF(X25="","NoCod",X25),IF($A25="","",IF(ISERROR(VLOOKUP($A25,'liste reference'!$A$6:$H$1174,8,0)),IF(ISERROR(VLOOKUP($A25,'liste reference'!$B$6:$H$1174,7,0)),"",VLOOKUP($A25,'liste reference'!$B$6:$H$1174,7,0)),VLOOKUP($A25,'liste reference'!$A$6:$H$1174,8,0))))</f>
        <v>1148</v>
      </c>
      <c r="R25" s="484" t="n">
        <f aca="false">IF(ISTEXT(H25),"",(B25*$B$7/100)+(C25*$C$7/100))</f>
        <v>0.005</v>
      </c>
      <c r="S25" s="485" t="n">
        <f aca="false">IF(OR(ISTEXT(H25),R25=0),"",IF(R25&lt;0.1,1,IF(R25&lt;1,2,IF(R25&lt;10,3,IF(R25&lt;50,4,IF(R25&gt;=50,5,""))))))</f>
        <v>1</v>
      </c>
      <c r="T25" s="485" t="n">
        <f aca="false">IF(ISERROR(S25*J25),0,S25*J25)</f>
        <v>13</v>
      </c>
      <c r="U25" s="485" t="n">
        <f aca="false">IF(ISERROR(S25*J25*K25),0,S25*J25*K25)</f>
        <v>39</v>
      </c>
      <c r="V25" s="501" t="n">
        <f aca="false">IF(ISERROR(S25*K25),0,S25*K25)</f>
        <v>3</v>
      </c>
      <c r="W25" s="502"/>
      <c r="X25" s="503"/>
      <c r="Y25" s="488" t="str">
        <f aca="false">IF(AND(ISNUMBER(F25),OR(A25="",A25="!!!!!!")),"!!!!!!",IF(A25="new.cod","NEWCOD",IF(AND((Z25=""),ISTEXT(A25),A25&lt;&gt;"!!!!!!"),A25,IF(Z25="","",INDEX('liste reference'!$A$6:$A$1174,Z25)))))</f>
        <v>ZYGSPX</v>
      </c>
      <c r="Z25" s="470" t="n">
        <f aca="false">IF(ISERROR(MATCH(A25,'liste reference'!$A$6:$A$1174,0)),IF(ISERROR(MATCH(A25,'liste reference'!$B$6:$B$1174,0)),"",(MATCH(A25,'liste reference'!$B$6:$B$1174,0))),(MATCH(A25,'liste reference'!$A$6:$A$1174,0)))</f>
        <v>119</v>
      </c>
    </row>
    <row r="26" customFormat="false" ht="12.75" hidden="false" customHeight="false" outlineLevel="0" collapsed="false">
      <c r="A26" s="489" t="s">
        <v>784</v>
      </c>
      <c r="B26" s="490" t="n">
        <v>0.005</v>
      </c>
      <c r="C26" s="491"/>
      <c r="D26" s="492" t="str">
        <f aca="false">IF(ISERROR(VLOOKUP($A26,'liste reference'!$A$6:$B$1174,2,0)),IF(ISERROR(VLOOKUP($A26,'liste reference'!$B$6:$B$1174,1,0)),"",VLOOKUP($A26,'liste reference'!$B$6:$B$1174,1,0)),VLOOKUP($A26,'liste reference'!$A$6:$B$1174,2,0))</f>
        <v>Didymodon tophaceus</v>
      </c>
      <c r="E26" s="493" t="e">
        <f aca="false">IF(D26="",0,VLOOKUP(D26,D$22:D25,1,0))</f>
        <v>#N/A</v>
      </c>
      <c r="F26" s="494" t="n">
        <f aca="false">IF(AND(OR(A26="",A26="!!!!!!"),B26="",C26=""),"",IF(OR(AND(B26="",C26=""),ISERROR(C26+B26)),"!!!",($B26*$B$7+$C26*$C$7)/100))</f>
        <v>0.005</v>
      </c>
      <c r="G26" s="495" t="str">
        <f aca="false">IF(A26="","",IF(ISERROR(VLOOKUP($A26,'liste reference'!$A$6:$Q$1174,9,0)),IF(ISERROR(VLOOKUP($A26,'liste reference'!$B$6:$Q$1174,8,0)),"    -",VLOOKUP($A26,'liste reference'!$B$6:$Q$1174,8,0)),VLOOKUP($A26,'liste reference'!$A$6:$Q$1174,9,0)))</f>
        <v>BRm</v>
      </c>
      <c r="H26" s="496" t="n">
        <f aca="false">IF(A26="","x",IF(ISERROR(VLOOKUP($A26,'liste reference'!$A$6:$Q$1174,10,0)),IF(ISERROR(VLOOKUP($A26,'liste reference'!$B$6:$Q$1174,9,0)),"x",VLOOKUP($A26,'liste reference'!$B$6:$Q$1174,9,0)),VLOOKUP($A26,'liste reference'!$A$6:$Q$1174,10,0)))</f>
        <v>5</v>
      </c>
      <c r="I26" s="281" t="n">
        <f aca="false">IF(A26="","",1)</f>
        <v>1</v>
      </c>
      <c r="J26" s="497" t="str">
        <f aca="false">IF(ISNUMBER($H26),IF(ISERROR(VLOOKUP($A26,'liste reference'!$A$6:$Q$1174,6,0)),IF(ISERROR(VLOOKUP($A26,'liste reference'!$B$6:$Q$1174,5,0)),"nu",VLOOKUP($A26,'liste reference'!$B$6:$Q$1174,5,0)),VLOOKUP($A26,'liste reference'!$A$6:$Q$1174,6,0)),"nu")</f>
        <v>nc</v>
      </c>
      <c r="K26" s="497" t="str">
        <f aca="false">IF(ISNUMBER($H26),IF(ISERROR(VLOOKUP($A26,'liste reference'!$A$6:$Q$1174,7,0)),IF(ISERROR(VLOOKUP($A26,'liste reference'!$B$6:$Q$1174,6,0)),"nu",VLOOKUP($A26,'liste reference'!$B$6:$Q$1174,6,0)),VLOOKUP($A26,'liste reference'!$A$6:$Q$1174,7,0)),"nu")</f>
        <v>nc</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Didymodon tophaceus</v>
      </c>
      <c r="M26" s="498"/>
      <c r="N26" s="498"/>
      <c r="O26" s="498"/>
      <c r="P26" s="499" t="s">
        <v>3448</v>
      </c>
      <c r="Q26" s="500" t="n">
        <f aca="false">IF(OR($A26="NEWCOD",$A26="!!!!!!"),IF(X26="","NoCod",X26),IF($A26="","",IF(ISERROR(VLOOKUP($A26,'liste reference'!$A$6:$H$1174,8,0)),IF(ISERROR(VLOOKUP($A26,'liste reference'!$B$6:$H$1174,7,0)),"",VLOOKUP($A26,'liste reference'!$B$6:$H$1174,7,0)),VLOOKUP($A26,'liste reference'!$A$6:$H$1174,8,0))))</f>
        <v>19619</v>
      </c>
      <c r="R26" s="484" t="n">
        <f aca="false">IF(ISTEXT(H26),"",(B26*$B$7/100)+(C26*$C$7/100))</f>
        <v>0.005</v>
      </c>
      <c r="S26" s="485" t="n">
        <f aca="false">IF(OR(ISTEXT(H26),R26=0),"",IF(R26&lt;0.1,1,IF(R26&lt;1,2,IF(R26&lt;10,3,IF(R26&lt;50,4,IF(R26&gt;=50,5,""))))))</f>
        <v>1</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DIDTOP</v>
      </c>
      <c r="Z26" s="470" t="n">
        <f aca="false">IF(ISERROR(MATCH(A26,'liste reference'!$A$6:$A$1174,0)),IF(ISERROR(MATCH(A26,'liste reference'!$B$6:$B$1174,0)),"",(MATCH(A26,'liste reference'!$B$6:$B$1174,0))),(MATCH(A26,'liste reference'!$A$6:$A$1174,0)))</f>
        <v>243</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3448</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3448</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3448</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3448</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3448</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3448</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3448</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3448</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3448</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3448</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3448</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3448</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3448</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3448</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3448</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3448</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1.015</v>
      </c>
      <c r="G83" s="424"/>
      <c r="H83" s="424"/>
      <c r="I83" s="424"/>
      <c r="J83" s="424"/>
      <c r="K83" s="424"/>
      <c r="L83" s="424"/>
      <c r="M83" s="485"/>
      <c r="N83" s="485"/>
      <c r="O83" s="485"/>
      <c r="P83" s="485"/>
      <c r="Q83" s="485"/>
      <c r="R83" s="485"/>
      <c r="S83" s="485"/>
      <c r="T83" s="485"/>
      <c r="U83" s="485"/>
      <c r="V83" s="485" t="n">
        <f aca="false">SUM(V23:V82)</f>
        <v>4</v>
      </c>
      <c r="W83" s="485"/>
      <c r="X83" s="523"/>
      <c r="Y83" s="523"/>
      <c r="Z83" s="524"/>
    </row>
    <row r="84" customFormat="false" ht="12.75" hidden="true" customHeight="false" outlineLevel="0" collapsed="false">
      <c r="A84" s="518" t="str">
        <f aca="false">A3</f>
        <v>ASSE</v>
      </c>
      <c r="B84" s="453" t="str">
        <f aca="false">C3</f>
        <v>ASSE A BEYNES 1</v>
      </c>
      <c r="C84" s="525" t="str">
        <f aca="false">A4</f>
        <v>(Date)</v>
      </c>
      <c r="D84" s="526" t="n">
        <f aca="false">IF(OR(ISERROR(SUM($U$23:$U$82)/SUM($V$23:$V$82)),F7&lt;&gt;100),-1,SUM($U$23:$U$82)/SUM($V$23:$V$82))</f>
        <v>11.25</v>
      </c>
      <c r="E84" s="527" t="n">
        <f aca="false">O13</f>
        <v>4</v>
      </c>
      <c r="F84" s="453" t="n">
        <f aca="false">O14</f>
        <v>2</v>
      </c>
      <c r="G84" s="453" t="n">
        <f aca="false">O15</f>
        <v>1</v>
      </c>
      <c r="H84" s="453" t="n">
        <f aca="false">O16</f>
        <v>0</v>
      </c>
      <c r="I84" s="453" t="n">
        <f aca="false">O17</f>
        <v>1</v>
      </c>
      <c r="J84" s="528" t="n">
        <f aca="false">O8</f>
        <v>9.5</v>
      </c>
      <c r="K84" s="529" t="n">
        <f aca="false">O9</f>
        <v>3.5</v>
      </c>
      <c r="L84" s="530" t="n">
        <f aca="false">O10</f>
        <v>6</v>
      </c>
      <c r="M84" s="530" t="n">
        <f aca="false">O11</f>
        <v>13</v>
      </c>
      <c r="N84" s="529" t="n">
        <f aca="false">P8</f>
        <v>2</v>
      </c>
      <c r="O84" s="529" t="n">
        <f aca="false">P9</f>
        <v>1</v>
      </c>
      <c r="P84" s="530" t="n">
        <f aca="false">P10</f>
        <v>1</v>
      </c>
      <c r="Q84" s="530" t="n">
        <f aca="false">P11</f>
        <v>3</v>
      </c>
      <c r="R84" s="530" t="n">
        <f aca="false">F21</f>
        <v>1.015</v>
      </c>
      <c r="S84" s="530" t="n">
        <f aca="false">L11</f>
        <v>0</v>
      </c>
      <c r="T84" s="530" t="n">
        <f aca="false">L12</f>
        <v>3</v>
      </c>
      <c r="U84" s="530" t="n">
        <f aca="false">L13</f>
        <v>1</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3449</v>
      </c>
      <c r="S86" s="281"/>
      <c r="T86" s="536"/>
      <c r="U86" s="281"/>
      <c r="V86" s="281"/>
    </row>
    <row r="87" customFormat="false" ht="12.75" hidden="true" customHeight="false" outlineLevel="0" collapsed="false">
      <c r="C87" s="534"/>
      <c r="D87" s="534"/>
      <c r="E87" s="534"/>
      <c r="R87" s="281" t="s">
        <v>3450</v>
      </c>
      <c r="S87" s="281"/>
      <c r="T87" s="536" t="n">
        <f aca="false">VLOOKUP($T$91,($A$23:$U$82),20,0)</f>
        <v>13</v>
      </c>
      <c r="U87" s="281"/>
      <c r="V87" s="281"/>
    </row>
    <row r="88" customFormat="false" ht="12.75" hidden="true" customHeight="false" outlineLevel="0" collapsed="false">
      <c r="C88" s="534"/>
      <c r="D88" s="534"/>
      <c r="E88" s="534"/>
      <c r="R88" s="281" t="s">
        <v>3451</v>
      </c>
      <c r="S88" s="281"/>
      <c r="T88" s="536" t="n">
        <f aca="false">VLOOKUP($T$91,($A$23:$U$82),21,0)</f>
        <v>39</v>
      </c>
      <c r="U88" s="281"/>
      <c r="V88" s="281" t="n">
        <f aca="false">COUNTIF(V23:V82,T89)</f>
        <v>1</v>
      </c>
    </row>
    <row r="89" customFormat="false" ht="12.75" hidden="true" customHeight="false" outlineLevel="0" collapsed="false">
      <c r="C89" s="534"/>
      <c r="D89" s="534"/>
      <c r="E89" s="534"/>
      <c r="R89" s="281" t="s">
        <v>3452</v>
      </c>
      <c r="S89" s="281"/>
      <c r="T89" s="536" t="n">
        <f aca="false">MAX($V$23:$V$82)</f>
        <v>3</v>
      </c>
      <c r="U89" s="281"/>
      <c r="V89" s="0"/>
    </row>
    <row r="90" customFormat="false" ht="12.75" hidden="true" customHeight="false" outlineLevel="0" collapsed="false">
      <c r="C90" s="534"/>
      <c r="D90" s="534"/>
      <c r="E90" s="534"/>
      <c r="R90" s="281" t="s">
        <v>3453</v>
      </c>
      <c r="S90" s="281" t="s">
        <v>3384</v>
      </c>
      <c r="T90" s="537" t="n">
        <f aca="false">IF(OR(ISERROR(SUM($U$23:$U$82)/SUM($V$23:$V$82)),F7&lt;&gt;100),-1,(SUM($U$23:$U$82)-T88)/(SUM($V$23:$V$82)-T89))</f>
        <v>6</v>
      </c>
      <c r="U90" s="281" t="n">
        <f aca="false">IF(ISERROR(T90),0,1)</f>
        <v>1</v>
      </c>
      <c r="V90" s="0"/>
    </row>
    <row r="91" customFormat="false" ht="12.75" hidden="true" customHeight="false" outlineLevel="0" collapsed="false">
      <c r="C91" s="534"/>
      <c r="D91" s="534"/>
      <c r="E91" s="534"/>
      <c r="R91" s="485" t="s">
        <v>3454</v>
      </c>
      <c r="S91" s="485"/>
      <c r="T91" s="485" t="str">
        <f aca="false">INDEX('liste reference'!$A$6:$A$1174,$U$91)</f>
        <v>ZYGSPX</v>
      </c>
      <c r="U91" s="281" t="n">
        <f aca="false">IF(ISERROR(MATCH($T$93,'liste reference'!$A$6:$A$1174,0)),MATCH($T$93,'liste reference'!$B$6:$B$1174,0),(MATCH($T$93,'liste reference'!$A$6:$A$1174,0)))</f>
        <v>119</v>
      </c>
      <c r="V91" s="538"/>
    </row>
    <row r="92" customFormat="false" ht="12.75" hidden="true" customHeight="false" outlineLevel="0" collapsed="false">
      <c r="C92" s="534"/>
      <c r="D92" s="534"/>
      <c r="E92" s="534"/>
      <c r="R92" s="281" t="s">
        <v>3455</v>
      </c>
      <c r="S92" s="281"/>
      <c r="T92" s="281" t="n">
        <f aca="false">MATCH(T89,$V$23:$V$82,0)</f>
        <v>3</v>
      </c>
      <c r="U92" s="281"/>
    </row>
    <row r="93" customFormat="false" ht="12.75" hidden="true" customHeight="false" outlineLevel="0" collapsed="false">
      <c r="C93" s="534"/>
      <c r="D93" s="534"/>
      <c r="E93" s="534"/>
      <c r="R93" s="485" t="s">
        <v>3456</v>
      </c>
      <c r="S93" s="281"/>
      <c r="T93" s="485" t="str">
        <f aca="false">INDEX($A$23:$A$82,$T$92)</f>
        <v>ZYGSPX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3457</v>
      </c>
      <c r="B2" s="286"/>
      <c r="C2" s="287" t="s">
        <v>3458</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3459</v>
      </c>
      <c r="B3" s="286"/>
      <c r="C3" s="285" t="s">
        <v>3460</v>
      </c>
      <c r="D3" s="296"/>
      <c r="E3" s="296"/>
      <c r="F3" s="297"/>
      <c r="G3" s="297"/>
      <c r="H3" s="296"/>
      <c r="I3" s="281"/>
      <c r="J3" s="288"/>
      <c r="K3" s="298"/>
      <c r="L3" s="299" t="s">
        <v>3461</v>
      </c>
      <c r="M3" s="300"/>
      <c r="N3" s="301" t="s">
        <v>3462</v>
      </c>
      <c r="O3" s="302"/>
      <c r="P3" s="302"/>
      <c r="Q3" s="303"/>
      <c r="R3" s="281"/>
      <c r="S3" s="281"/>
      <c r="T3" s="281"/>
      <c r="U3" s="281"/>
      <c r="V3" s="281"/>
      <c r="W3" s="295"/>
      <c r="X3" s="0"/>
      <c r="Y3" s="0"/>
      <c r="Z3" s="0"/>
    </row>
    <row r="4" customFormat="false" ht="13.5" hidden="false" customHeight="false" outlineLevel="0" collapsed="false">
      <c r="A4" s="304" t="s">
        <v>3381</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3390</v>
      </c>
      <c r="M6" s="335"/>
      <c r="N6" s="336"/>
      <c r="O6" s="337"/>
      <c r="P6" s="338"/>
      <c r="Q6" s="339"/>
      <c r="R6" s="281"/>
      <c r="S6" s="281"/>
      <c r="T6" s="281"/>
      <c r="U6" s="281"/>
      <c r="V6" s="281"/>
      <c r="W6" s="295"/>
      <c r="X6" s="0"/>
      <c r="Y6" s="0"/>
      <c r="Z6" s="0"/>
    </row>
    <row r="7" customFormat="false" ht="12.75" hidden="false" customHeight="false" outlineLevel="0" collapsed="false">
      <c r="A7" s="340" t="s">
        <v>3393</v>
      </c>
      <c r="B7" s="341"/>
      <c r="C7" s="342"/>
      <c r="D7" s="330"/>
      <c r="E7" s="330"/>
      <c r="F7" s="343" t="n">
        <f aca="false">B7+C7</f>
        <v>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3399</v>
      </c>
      <c r="B9" s="358"/>
      <c r="C9" s="359"/>
      <c r="D9" s="360"/>
      <c r="E9" s="360"/>
      <c r="F9" s="361" t="n">
        <f aca="false">($B9*$B$7+$C9*$C$7)/100</f>
        <v>0</v>
      </c>
      <c r="G9" s="362"/>
      <c r="H9" s="317"/>
      <c r="I9" s="281"/>
      <c r="J9" s="363"/>
      <c r="K9" s="364"/>
      <c r="L9" s="347"/>
      <c r="M9" s="365"/>
      <c r="N9" s="355" t="s">
        <v>3400</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3401</v>
      </c>
      <c r="B10" s="366"/>
      <c r="C10" s="367"/>
      <c r="D10" s="360"/>
      <c r="E10" s="360"/>
      <c r="F10" s="361"/>
      <c r="G10" s="362"/>
      <c r="H10" s="330"/>
      <c r="I10" s="281"/>
      <c r="J10" s="368"/>
      <c r="K10" s="369" t="s">
        <v>3403</v>
      </c>
      <c r="L10" s="370"/>
      <c r="M10" s="371"/>
      <c r="N10" s="355" t="s">
        <v>3404</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1</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0</v>
      </c>
      <c r="M13" s="381"/>
      <c r="N13" s="389" t="s">
        <v>3412</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0</v>
      </c>
      <c r="M14" s="381"/>
      <c r="N14" s="392" t="s">
        <v>3415</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0</v>
      </c>
      <c r="M15" s="381"/>
      <c r="N15" s="389" t="s">
        <v>3418</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str">
        <f aca="false">IF(ISERROR((O13-(COUNTIF(J23:J82,"nc")))/O13),"-",(O13-(COUNTIF(J23:J82,"nc")))/O13)</f>
        <v>-</v>
      </c>
      <c r="N17" s="389" t="s">
        <v>3423</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0</v>
      </c>
      <c r="C20" s="433" t="n">
        <f aca="false">SUM(C23:C82)</f>
        <v>0</v>
      </c>
      <c r="D20" s="434"/>
      <c r="E20" s="435" t="s">
        <v>3425</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0</v>
      </c>
      <c r="C21" s="444" t="n">
        <f aca="false">C20*C7/100</f>
        <v>0</v>
      </c>
      <c r="D21" s="445" t="s">
        <v>3428</v>
      </c>
      <c r="E21" s="446"/>
      <c r="F21" s="447" t="n">
        <f aca="false">B21+C21</f>
        <v>0</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3463</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3448</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3448</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3448</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3448</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3448</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3448</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3448</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3448</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3448</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3448</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3448</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3448</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3448</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3448</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3448</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3448</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3448</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3448</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3448</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3449</v>
      </c>
      <c r="S86" s="281"/>
      <c r="T86" s="536"/>
      <c r="U86" s="281"/>
      <c r="V86" s="281"/>
    </row>
    <row r="87" customFormat="false" ht="12.75" hidden="true" customHeight="false" outlineLevel="0" collapsed="false">
      <c r="C87" s="534"/>
      <c r="D87" s="534"/>
      <c r="E87" s="534"/>
      <c r="R87" s="281" t="s">
        <v>3450</v>
      </c>
      <c r="S87" s="281"/>
      <c r="T87" s="536" t="n">
        <f aca="false">VLOOKUP($T$91,($A$23:$U$82),20,0)</f>
        <v>0</v>
      </c>
      <c r="U87" s="281"/>
      <c r="V87" s="281"/>
    </row>
    <row r="88" customFormat="false" ht="12.75" hidden="true" customHeight="false" outlineLevel="0" collapsed="false">
      <c r="C88" s="534"/>
      <c r="D88" s="534"/>
      <c r="E88" s="534"/>
      <c r="R88" s="281" t="s">
        <v>3451</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3452</v>
      </c>
      <c r="S89" s="281"/>
      <c r="T89" s="536" t="n">
        <f aca="false">MAX($V$23:$V$82)</f>
        <v>0</v>
      </c>
      <c r="U89" s="281"/>
      <c r="V89" s="0"/>
    </row>
    <row r="90" customFormat="false" ht="12.75" hidden="true" customHeight="false" outlineLevel="0" collapsed="false">
      <c r="C90" s="534"/>
      <c r="D90" s="534"/>
      <c r="E90" s="534"/>
      <c r="R90" s="281" t="s">
        <v>3453</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3454</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3455</v>
      </c>
      <c r="S92" s="281"/>
      <c r="T92" s="281" t="n">
        <f aca="false">MATCH(T89,$V$23:$V$82,0)</f>
        <v>1</v>
      </c>
      <c r="U92" s="281"/>
    </row>
    <row r="93" customFormat="false" ht="12.75" hidden="true" customHeight="false" outlineLevel="0" collapsed="false">
      <c r="C93" s="534"/>
      <c r="D93" s="534"/>
      <c r="E93" s="534"/>
      <c r="R93" s="485" t="s">
        <v>3456</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3464</v>
      </c>
      <c r="B1" s="541"/>
      <c r="C1" s="541"/>
      <c r="D1" s="541"/>
      <c r="E1" s="542" t="s">
        <v>3465</v>
      </c>
      <c r="F1" s="543" t="s">
        <v>3466</v>
      </c>
      <c r="G1" s="544"/>
      <c r="H1" s="544"/>
      <c r="I1" s="545"/>
      <c r="J1" s="545"/>
      <c r="K1" s="545"/>
      <c r="L1" s="546"/>
    </row>
    <row r="2" customFormat="false" ht="15" hidden="false" customHeight="false" outlineLevel="0" collapsed="false">
      <c r="A2" s="547" t="s">
        <v>3467</v>
      </c>
      <c r="B2" s="548"/>
      <c r="C2" s="549"/>
      <c r="D2" s="549"/>
      <c r="E2" s="550"/>
      <c r="F2" s="543" t="s">
        <v>3468</v>
      </c>
      <c r="G2" s="544"/>
      <c r="H2" s="544"/>
      <c r="I2" s="545"/>
      <c r="J2" s="545"/>
      <c r="K2" s="545"/>
      <c r="L2" s="546"/>
    </row>
    <row r="3" customFormat="false" ht="15.75" hidden="false" customHeight="false" outlineLevel="0" collapsed="false">
      <c r="A3" s="547" t="s">
        <v>3469</v>
      </c>
      <c r="B3" s="548"/>
      <c r="C3" s="549"/>
      <c r="D3" s="551" t="s">
        <v>3470</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3471</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3472</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3473</v>
      </c>
      <c r="G17" s="570"/>
      <c r="H17" s="571" t="s">
        <v>3474</v>
      </c>
      <c r="I17" s="570"/>
    </row>
    <row r="18" customFormat="false" ht="15" hidden="false" customHeight="false" outlineLevel="0" collapsed="false">
      <c r="A18" s="563"/>
      <c r="B18" s="566" t="s">
        <v>2963</v>
      </c>
      <c r="C18" s="567"/>
      <c r="D18" s="568"/>
      <c r="F18" s="572" t="s">
        <v>3475</v>
      </c>
      <c r="G18" s="573"/>
      <c r="H18" s="572" t="s">
        <v>3475</v>
      </c>
      <c r="I18" s="574"/>
    </row>
    <row r="19" customFormat="false" ht="15" hidden="false" customHeight="false" outlineLevel="0" collapsed="false">
      <c r="A19" s="563"/>
      <c r="B19" s="566" t="s">
        <v>2965</v>
      </c>
      <c r="C19" s="567"/>
      <c r="D19" s="568"/>
      <c r="F19" s="575" t="s">
        <v>3476</v>
      </c>
      <c r="G19" s="8"/>
      <c r="H19" s="575" t="s">
        <v>3476</v>
      </c>
      <c r="I19" s="576"/>
    </row>
    <row r="20" customFormat="false" ht="15" hidden="false" customHeight="false" outlineLevel="0" collapsed="false">
      <c r="A20" s="563"/>
      <c r="B20" s="566" t="s">
        <v>2969</v>
      </c>
      <c r="C20" s="567"/>
      <c r="D20" s="568"/>
      <c r="F20" s="575" t="s">
        <v>3389</v>
      </c>
      <c r="G20" s="8"/>
      <c r="H20" s="575" t="s">
        <v>3389</v>
      </c>
      <c r="I20" s="576"/>
    </row>
    <row r="21" customFormat="false" ht="15" hidden="false" customHeight="false" outlineLevel="0" collapsed="false">
      <c r="A21" s="563"/>
      <c r="B21" s="566" t="s">
        <v>2318</v>
      </c>
      <c r="C21" s="567"/>
      <c r="D21" s="568"/>
      <c r="F21" s="575" t="s">
        <v>3477</v>
      </c>
      <c r="G21" s="8"/>
      <c r="H21" s="575" t="s">
        <v>3477</v>
      </c>
      <c r="I21" s="576"/>
    </row>
    <row r="22" customFormat="false" ht="15" hidden="false" customHeight="false" outlineLevel="0" collapsed="false">
      <c r="A22" s="563"/>
      <c r="B22" s="566" t="s">
        <v>2971</v>
      </c>
      <c r="C22" s="567"/>
      <c r="D22" s="568"/>
      <c r="F22" s="575" t="s">
        <v>3478</v>
      </c>
      <c r="G22" s="8"/>
      <c r="H22" s="575" t="s">
        <v>3478</v>
      </c>
      <c r="I22" s="576"/>
    </row>
    <row r="23" customFormat="false" ht="15" hidden="false" customHeight="false" outlineLevel="0" collapsed="false">
      <c r="A23" s="563"/>
      <c r="B23" s="566" t="s">
        <v>1933</v>
      </c>
      <c r="C23" s="567"/>
      <c r="D23" s="568"/>
      <c r="F23" s="575" t="s">
        <v>3479</v>
      </c>
      <c r="G23" s="8"/>
      <c r="H23" s="575" t="s">
        <v>3479</v>
      </c>
      <c r="I23" s="576"/>
    </row>
    <row r="24" customFormat="false" ht="15" hidden="false" customHeight="false" outlineLevel="0" collapsed="false">
      <c r="A24" s="563"/>
      <c r="B24" s="566" t="s">
        <v>2973</v>
      </c>
      <c r="C24" s="567"/>
      <c r="D24" s="568"/>
      <c r="F24" s="575" t="s">
        <v>3480</v>
      </c>
      <c r="G24" s="8"/>
      <c r="H24" s="575" t="s">
        <v>3480</v>
      </c>
      <c r="I24" s="576"/>
    </row>
    <row r="25" customFormat="false" ht="15" hidden="false" customHeight="false" outlineLevel="0" collapsed="false">
      <c r="A25" s="563"/>
      <c r="B25" s="566" t="s">
        <v>1354</v>
      </c>
      <c r="C25" s="567"/>
      <c r="D25" s="568"/>
      <c r="F25" s="575" t="s">
        <v>3481</v>
      </c>
      <c r="G25" s="8"/>
      <c r="H25" s="575" t="s">
        <v>3481</v>
      </c>
      <c r="I25" s="576"/>
    </row>
    <row r="26" customFormat="false" ht="15" hidden="false" customHeight="false" outlineLevel="0" collapsed="false">
      <c r="A26" s="563"/>
      <c r="B26" s="566" t="s">
        <v>1357</v>
      </c>
      <c r="C26" s="567"/>
      <c r="D26" s="568"/>
      <c r="F26" s="575" t="s">
        <v>3482</v>
      </c>
      <c r="G26" s="8"/>
      <c r="H26" s="575" t="s">
        <v>3482</v>
      </c>
      <c r="I26" s="576"/>
    </row>
    <row r="27" customFormat="false" ht="15" hidden="false" customHeight="false" outlineLevel="0" collapsed="false">
      <c r="A27" s="563"/>
      <c r="B27" s="566" t="s">
        <v>1329</v>
      </c>
      <c r="C27" s="567"/>
      <c r="D27" s="568"/>
      <c r="F27" s="577" t="s">
        <v>3483</v>
      </c>
      <c r="G27" s="578"/>
      <c r="H27" s="577" t="s">
        <v>3483</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3484</v>
      </c>
    </row>
    <row r="31" customFormat="false" ht="15" hidden="false" customHeight="false" outlineLevel="0" collapsed="false">
      <c r="A31" s="563"/>
      <c r="B31" s="566" t="s">
        <v>2323</v>
      </c>
      <c r="C31" s="567"/>
      <c r="D31" s="568"/>
      <c r="F31" s="581" t="s">
        <v>3485</v>
      </c>
    </row>
    <row r="32" customFormat="false" ht="15" hidden="false" customHeight="false" outlineLevel="0" collapsed="false">
      <c r="A32" s="563"/>
      <c r="B32" s="566" t="s">
        <v>2325</v>
      </c>
      <c r="C32" s="567"/>
      <c r="D32" s="568"/>
      <c r="F32" s="582" t="s">
        <v>3448</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3486</v>
      </c>
    </row>
    <row r="37" customFormat="false" ht="15" hidden="false" customHeight="false" outlineLevel="0" collapsed="false">
      <c r="A37" s="563"/>
      <c r="B37" s="566" t="s">
        <v>2979</v>
      </c>
      <c r="C37" s="567"/>
      <c r="D37" s="568"/>
      <c r="F37" s="581" t="s">
        <v>3402</v>
      </c>
    </row>
    <row r="38" customFormat="false" ht="15" hidden="false" customHeight="false" outlineLevel="0" collapsed="false">
      <c r="A38" s="563"/>
      <c r="B38" s="566" t="s">
        <v>2981</v>
      </c>
      <c r="C38" s="567"/>
      <c r="D38" s="568"/>
      <c r="F38" s="583" t="s">
        <v>3487</v>
      </c>
    </row>
    <row r="39" customFormat="false" ht="15" hidden="false" customHeight="false" outlineLevel="0" collapsed="false">
      <c r="A39" s="563"/>
      <c r="B39" s="566" t="s">
        <v>2983</v>
      </c>
      <c r="C39" s="567"/>
      <c r="D39" s="568"/>
      <c r="F39" s="583" t="s">
        <v>3488</v>
      </c>
    </row>
    <row r="40" customFormat="false" ht="15" hidden="false" customHeight="false" outlineLevel="0" collapsed="false">
      <c r="A40" s="563"/>
      <c r="B40" s="566" t="s">
        <v>624</v>
      </c>
      <c r="C40" s="567"/>
      <c r="D40" s="568"/>
      <c r="F40" s="583" t="s">
        <v>3489</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3490</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3491</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3492</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3493</v>
      </c>
    </row>
    <row r="1188" customFormat="false" ht="15" hidden="false" customHeight="false" outlineLevel="0" collapsed="false">
      <c r="A1188" s="563"/>
      <c r="B1188" s="566" t="s">
        <v>3494</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3495</v>
      </c>
    </row>
    <row r="1229" customFormat="false" ht="15" hidden="false" customHeight="false" outlineLevel="0" collapsed="false">
      <c r="A1229" s="563"/>
      <c r="B1229" s="566" t="s">
        <v>3496</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aquascop_invite</cp:lastModifiedBy>
  <cp:lastPrinted>2015-05-20T11:23:22Z</cp:lastPrinted>
  <dcterms:modified xsi:type="dcterms:W3CDTF">2017-01-23T15:05:43Z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