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T ANDRE" sheetId="1" state="visible" r:id="rId3"/>
  </sheets>
  <externalReferences>
    <externalReference r:id="rId4"/>
  </externalReferences>
  <definedNames>
    <definedName function="false" hidden="false" localSheetId="0" name="_xlnm.Print_Area" vbProcedure="false">'ST ANDRE'!$A$1:$O$25</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'ST ANDRE'!$A$23:$J$84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<sst xmlns="http://schemas.openxmlformats.org/spreadsheetml/2006/main" count="86" uniqueCount="81">
  <si>
    <t xml:space="preserve">Relevés floristiques aquatiques - IBMR</t>
  </si>
  <si>
    <t xml:space="preserve">GIS Macrophytes - juillet 2006</t>
  </si>
  <si>
    <t xml:space="preserve">CARICAIE</t>
  </si>
  <si>
    <t xml:space="preserve">conforme AFNOR T90-395 oct. 2003</t>
  </si>
  <si>
    <t xml:space="preserve">VERDON</t>
  </si>
  <si>
    <t xml:space="preserve">ST ANDRE LES ALPES</t>
  </si>
  <si>
    <t xml:space="preserve">06159900</t>
  </si>
  <si>
    <t xml:space="preserve">Résultats</t>
  </si>
  <si>
    <t xml:space="preserve">Robustesse:</t>
  </si>
  <si>
    <t xml:space="preserve">F. courant</t>
  </si>
  <si>
    <t xml:space="preserve">F. lent</t>
  </si>
  <si>
    <t xml:space="preserve">station</t>
  </si>
  <si>
    <t xml:space="preserve">IBMR:</t>
  </si>
  <si>
    <t xml:space="preserve">CLA.SPX</t>
  </si>
  <si>
    <t xml:space="preserve">Type de faciès</t>
  </si>
  <si>
    <t xml:space="preserve">radier</t>
  </si>
  <si>
    <t xml:space="preserve">niv. trophique:</t>
  </si>
  <si>
    <t xml:space="preserve">très élevé</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</si>
  <si>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</si>
  <si>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</si>
  <si>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</si>
  <si>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</si>
  <si>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</si>
  <si>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</si>
  <si>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</si>
  <si>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</si>
  <si>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</si>
  <si>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</si>
  <si>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</si>
  <si>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</si>
  <si>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</si>
  <si>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</si>
  <si>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</si>
  <si>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</si>
  <si>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</si>
  <si>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</si>
  <si>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</si>
  <si>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</si>
  <si>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</si>
  <si>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</si>
  <si>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</si>
  <si>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</si>
  <si>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</si>
  <si>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</si>
  <si>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</si>
  <si>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</si>
  <si>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</si>
  <si>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</si>
  <si>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</si>
  <si>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</si>
  <si>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</si>
  <si>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</si>
  <si>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</si>
  <si>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</si>
  <si>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</si>
  <si>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</si>
  <si>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</si>
  <si>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</si>
  <si>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</si>
  <si>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</si>
  <si>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</si>
  <si>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</si>
  <si>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</si>
  <si>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</si>
  <si>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</si>
  <si>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</si>
  <si>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</si>
  <si>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</si>
  <si>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</si>
  <si>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</si>
  <si>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</si>
  <si>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RHI.SPX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</si>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</sst>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3" borderId="23" xfId="0" applyFont="true" applyBorder="true" applyAlignment="true" applyProtection="true">
      <alignment horizontal="right" vertical="top" textRotation="0" wrapText="false" indent="0" shrinkToFit="false"/>
      <protection locked="true" hidden="true"/>
    </xf>
    <xf numFmtId="167" fontId="15" fillId="3"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3" borderId="29" xfId="0" applyFont="true" applyBorder="true" applyAlignment="true" applyProtection="true">
      <alignment horizontal="left" vertical="bottom" textRotation="0" wrapText="false" indent="0" shrinkToFit="false"/>
      <protection locked="true" hidden="true"/>
    </xf>
    <xf numFmtId="164" fontId="8" fillId="3"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40386</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4.66666666666667</v>
      </c>
      <c r="M5" s="52"/>
      <c r="N5" s="53" t="s">
        <v>13</v>
      </c>
      <c r="O5" s="54" t="n">
        <v>4</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5</v>
      </c>
      <c r="O8" s="83" t="n">
        <f aca="false">AVERAGE(J23:J82)</f>
        <v>1.5</v>
      </c>
      <c r="P8" s="9"/>
      <c r="Q8" s="9"/>
      <c r="R8" s="9"/>
      <c r="S8" s="9"/>
      <c r="T8" s="9"/>
      <c r="U8" s="9"/>
      <c r="V8" s="21"/>
      <c r="W8" s="22"/>
    </row>
    <row r="9" customFormat="false" ht="13.5" hidden="false" customHeight="false" outlineLevel="0" collapsed="false">
      <c r="A9" s="84" t="s">
        <v>25</v>
      </c>
      <c r="B9" s="85" t="n">
        <v>0.02</v>
      </c>
      <c r="C9" s="86"/>
      <c r="D9" s="87"/>
      <c r="E9" s="87"/>
      <c r="F9" s="88" t="n">
        <f aca="false">($B9*$B$7+$C9*$C$7)/100</f>
        <v>0.02</v>
      </c>
      <c r="G9" s="89"/>
      <c r="H9" s="90"/>
      <c r="I9" s="91"/>
      <c r="J9" s="92"/>
      <c r="K9" s="72"/>
      <c r="L9" s="93"/>
      <c r="M9" s="81" t="s">
        <v>26</v>
      </c>
      <c r="N9" s="82" t="n">
        <f aca="false">STDEV(I23:I82)</f>
        <v>1.4142135623731</v>
      </c>
      <c r="O9" s="83" t="n">
        <f aca="false">STDEV(J23:J82)</f>
        <v>0.707106781186548</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6</v>
      </c>
      <c r="O11" s="106" t="n">
        <f aca="false">MAX(J23:J82)</f>
        <v>2</v>
      </c>
      <c r="P11" s="9"/>
      <c r="Q11" s="9"/>
      <c r="R11" s="9"/>
      <c r="S11" s="9"/>
      <c r="T11" s="9"/>
      <c r="U11" s="9"/>
    </row>
    <row r="12" customFormat="false" ht="12.75" hidden="false" customHeight="false" outlineLevel="0" collapsed="false">
      <c r="A12" s="116" t="s">
        <v>33</v>
      </c>
      <c r="B12" s="117" t="n">
        <v>0.02</v>
      </c>
      <c r="C12" s="118"/>
      <c r="D12" s="110"/>
      <c r="E12" s="110"/>
      <c r="F12" s="111" t="n">
        <f aca="false">($B12*$B$7+$C12*$C$7)/100</f>
        <v>0.02</v>
      </c>
      <c r="G12" s="119"/>
      <c r="H12" s="67"/>
      <c r="I12" s="120" t="s">
        <v>34</v>
      </c>
      <c r="J12" s="120"/>
      <c r="K12" s="114" t="n">
        <f aca="false">COUNTIF($G$23:$G$82,"=ALG")</f>
        <v>2</v>
      </c>
      <c r="L12" s="121"/>
      <c r="M12" s="122"/>
      <c r="N12" s="123" t="s">
        <v>28</v>
      </c>
      <c r="O12" s="124"/>
      <c r="P12" s="9"/>
      <c r="Q12" s="9"/>
      <c r="R12" s="9"/>
      <c r="S12" s="9"/>
      <c r="T12" s="9"/>
      <c r="U12" s="9"/>
    </row>
    <row r="13" customFormat="false" ht="12.75" hidden="false" customHeight="false" outlineLevel="0" collapsed="false">
      <c r="A13" s="116" t="s">
        <v>35</v>
      </c>
      <c r="B13" s="117" t="n">
        <v>0</v>
      </c>
      <c r="C13" s="118"/>
      <c r="D13" s="110"/>
      <c r="E13" s="110"/>
      <c r="F13" s="111" t="n">
        <f aca="false">($B13*$B$7+$C13*$C$7)/100</f>
        <v>0</v>
      </c>
      <c r="G13" s="119"/>
      <c r="H13" s="67"/>
      <c r="I13" s="120" t="s">
        <v>36</v>
      </c>
      <c r="J13" s="120"/>
      <c r="K13" s="114" t="n">
        <f aca="false">COUNTIF($G$23:$G$82,"=BRm")+COUNTIF($G$23:$G$82,"=BRh")</f>
        <v>0</v>
      </c>
      <c r="L13" s="115"/>
      <c r="M13" s="125" t="s">
        <v>37</v>
      </c>
      <c r="N13" s="126" t="n">
        <f aca="false">COUNTIF(F23:F82,"&gt;0")</f>
        <v>2</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2</v>
      </c>
      <c r="O14" s="130"/>
      <c r="P14" s="9"/>
      <c r="Q14" s="9"/>
      <c r="R14" s="9"/>
      <c r="S14" s="9"/>
      <c r="T14" s="9"/>
      <c r="U14" s="9"/>
    </row>
    <row r="15" customFormat="false" ht="12.75" hidden="false" customHeight="false" outlineLevel="0" collapsed="false">
      <c r="A15" s="131" t="s">
        <v>41</v>
      </c>
      <c r="B15" s="132" t="n">
        <v>0.01</v>
      </c>
      <c r="C15" s="133"/>
      <c r="D15" s="110"/>
      <c r="E15" s="110"/>
      <c r="F15" s="111" t="n">
        <f aca="false">($B15*$B$7+$C15*$C$7)/100</f>
        <v>0.01</v>
      </c>
      <c r="G15" s="119"/>
      <c r="H15" s="67"/>
      <c r="I15" s="120" t="s">
        <v>42</v>
      </c>
      <c r="J15" s="120"/>
      <c r="K15" s="114" t="n">
        <f aca="false">(COUNTIF($G$23:$G$82,"=PHy"))+(COUNTIF($G$23:$G$82,"=PHe"))+(COUNTIF($G$23:$G$82,"=PHg"))+(COUNTIF($G$23:$G$82,"=PHx"))</f>
        <v>0</v>
      </c>
      <c r="L15" s="115"/>
      <c r="M15" s="134" t="s">
        <v>43</v>
      </c>
      <c r="N15" s="135" t="n">
        <f aca="false">COUNTIF(J23:J82,"=1")</f>
        <v>1</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1</v>
      </c>
      <c r="O16" s="136"/>
      <c r="P16" s="9"/>
      <c r="Q16" s="9"/>
      <c r="R16" s="9"/>
      <c r="S16" s="9"/>
      <c r="T16" s="9"/>
      <c r="U16" s="9"/>
    </row>
    <row r="17" customFormat="false" ht="12.75" hidden="false" customHeight="false" outlineLevel="0" collapsed="false">
      <c r="A17" s="116" t="s">
        <v>46</v>
      </c>
      <c r="B17" s="117" t="n">
        <v>0.02</v>
      </c>
      <c r="C17" s="118"/>
      <c r="D17" s="110"/>
      <c r="E17" s="110"/>
      <c r="F17" s="140"/>
      <c r="G17" s="111" t="n">
        <f aca="false">($B17*$B$7+$C17*$C$7)/100</f>
        <v>0.02</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0.01</v>
      </c>
      <c r="C18" s="143"/>
      <c r="D18" s="110"/>
      <c r="E18" s="144" t="s">
        <v>49</v>
      </c>
      <c r="F18" s="140"/>
      <c r="G18" s="111" t="n">
        <f aca="false">($B18*$B$7+$C18*$C$7)/100</f>
        <v>0.01</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0.03</v>
      </c>
      <c r="G19" s="152" t="n">
        <f aca="false">SUM(G16:G18)</f>
        <v>0.03</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0.015</v>
      </c>
      <c r="C20" s="161" t="n">
        <f aca="false">SUM(C23:C82)</f>
        <v>0</v>
      </c>
      <c r="D20" s="162"/>
      <c r="E20" s="163" t="s">
        <v>49</v>
      </c>
      <c r="F20" s="164" t="n">
        <f aca="false">($B20*$B$7+$C20*$C$7)/100</f>
        <v>0.015</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0.015</v>
      </c>
      <c r="C21" s="173" t="n">
        <f aca="false">C20*C7/100</f>
        <v>0</v>
      </c>
      <c r="D21" s="110" t="str">
        <f aca="false">IF(F21=0,"",IF((ABS(F21-F19))&gt;(0.2*F21),CONCATENATE(" rec. par taxa (",F21," %) supérieur à 20 % !"),""))</f>
        <v> rec. par taxa (0,015 %) supérieur à 20 % !</v>
      </c>
      <c r="E21" s="174" t="str">
        <f aca="false">IF(F21=0,"",IF((ABS(F21-F19))&gt;(0.2*F21),CONCATENATE("ATTENTION : écart entre rec. par grp (",F19," %) ","et",""),""))</f>
        <v>ATTENTION : écart entre rec. par grp (0,03 %) et</v>
      </c>
      <c r="F21" s="175" t="n">
        <f aca="false">B21+C21</f>
        <v>0.015</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13</v>
      </c>
      <c r="B23" s="196" t="n">
        <v>0.005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0.005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0.005</v>
      </c>
      <c r="Q23" s="208" t="n">
        <f aca="false">IF(OR(ISTEXT(H23),P23=0),"",IF(P23&lt;0.1,1,IF(P23&lt;1,2,IF(P23&lt;10,3,IF(P23&lt;50,4,IF(P23&gt;=50,5,""))))))</f>
        <v>1</v>
      </c>
      <c r="R23" s="208" t="n">
        <f aca="false">IF(ISERROR(Q23*I23),0,Q23*I23)</f>
        <v>6</v>
      </c>
      <c r="S23" s="208" t="n">
        <f aca="false">IF(ISERROR(Q23*I23*J23),0,Q23*I23*J23)</f>
        <v>6</v>
      </c>
      <c r="T23" s="208" t="n">
        <f aca="false">IF(ISERROR(Q23*J23),0,Q23*J23)</f>
        <v>1</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71</v>
      </c>
      <c r="B24" s="215" t="n">
        <v>0.01</v>
      </c>
      <c r="C24" s="216"/>
      <c r="D24" s="217" t="str">
        <f aca="false">IF(ISERROR(VLOOKUP($A24,'[1]liste reference'!$A$7:$D$906,2,0)),IF(ISERROR(VLOOKUP($A24,'[1]liste reference'!$B$7:$D$906,1,0)),"",VLOOKUP($A24,'[1]liste reference'!$B$7:$D$906,1,0)),VLOOKUP($A24,'[1]liste reference'!$A$7:$D$906,2,0))</f>
        <v>Rhizoclonium sp.       </v>
      </c>
      <c r="E24" s="217" t="e">
        <f aca="false">IF(D24="",0,VLOOKUP(D24,D$22:D23,1,0))</f>
        <v>#N/A</v>
      </c>
      <c r="F24" s="218" t="n">
        <f aca="false">($B24*$B$7+$C24*$C$7)/100</f>
        <v>0.01</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4</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Rhizoclonium sp.       </v>
      </c>
      <c r="L24" s="222"/>
      <c r="M24" s="222"/>
      <c r="N24" s="222"/>
      <c r="O24" s="206"/>
      <c r="P24" s="207" t="n">
        <f aca="false">IF(ISTEXT(H24),"",(B24*$B$7/100)+(C24*$C$7/100))</f>
        <v>0.01</v>
      </c>
      <c r="Q24" s="208" t="n">
        <f aca="false">IF(OR(ISTEXT(H24),P24=0),"",IF(P24&lt;0.1,1,IF(P24&lt;1,2,IF(P24&lt;10,3,IF(P24&lt;50,4,IF(P24&gt;=50,5,""))))))</f>
        <v>1</v>
      </c>
      <c r="R24" s="208" t="n">
        <f aca="false">IF(ISERROR(Q24*I24),0,Q24*I24)</f>
        <v>4</v>
      </c>
      <c r="S24" s="208" t="n">
        <f aca="false">IF(ISERROR(Q24*I24*J24),0,Q24*I24*J24)</f>
        <v>8</v>
      </c>
      <c r="T24" s="223" t="n">
        <f aca="false">IF(ISERROR(Q24*J24),0,Q24*J24)</f>
        <v>2</v>
      </c>
      <c r="U24" s="209" t="str">
        <f aca="false">IF(AND(A24="",F24=0),"",IF(F24=0,"Il manque le(s) % de rec. !",""))</f>
        <v/>
      </c>
      <c r="V24" s="210"/>
      <c r="X24" s="211" t="str">
        <f aca="false">IF(A24="new.cod","NEW.COD",IF(AND((Y24=""),ISTEXT(A24)),A24,IF(Y24="","",INDEX('[1]liste reference'!$A$7:$A$906,Y24))))</f>
        <v>RHI.SPX</v>
      </c>
      <c r="Y24" s="9" t="n">
        <f aca="false">IF(ISERROR(MATCH(A24,'[1]liste reference'!$A$7:$A$906,0)),IF(ISERROR(MATCH(A24,'[1]liste reference'!$B$7:$B$906,0)),"",(MATCH(A24,'[1]liste reference'!$B$7:$B$906,0))),(MATCH(A24,'[1]liste reference'!$A$7:$A$906,0)))</f>
        <v>63</v>
      </c>
      <c r="Z24" s="212"/>
      <c r="AA24" s="213"/>
      <c r="BB24" s="9" t="n">
        <f aca="false">IF(A24="","",1)</f>
        <v>1</v>
      </c>
    </row>
    <row r="25" customFormat="false" ht="12.75" hidden="false" customHeight="false" outlineLevel="0" collapsed="false">
      <c r="A25" s="214"/>
      <c r="B25" s="215"/>
      <c r="C25" s="216"/>
      <c r="D25" s="217" t="str">
        <f aca="false">IF(ISERROR(VLOOKUP($A25,'[1]liste reference'!$A$7:$D$906,2,0)),IF(ISERROR(VLOOKUP($A25,'[1]liste reference'!$B$7:$D$906,1,0)),"",VLOOKUP($A25,'[1]liste reference'!$B$7:$D$906,1,0)),VLOOKUP($A25,'[1]liste reference'!$A$7:$D$906,2,0))</f>
        <v/>
      </c>
      <c r="E25" s="217" t="n">
        <f aca="false">IF(D25="",0,VLOOKUP(D25,D$22:D24,1,0))</f>
        <v>0</v>
      </c>
      <c r="F25" s="218" t="n">
        <f aca="false">($B25*$B$7+$C25*$C$7)/100</f>
        <v>0</v>
      </c>
      <c r="G25" s="219" t="str">
        <f aca="false">IF(A25="","",IF(ISERROR(VLOOKUP($A25,'[1]liste reference'!$A$7:$P$906,13,0)),IF(ISERROR(VLOOKUP($A25,'[1]liste reference'!$B$7:$P$906,12,0)),"    -",VLOOKUP($A25,'[1]liste reference'!$B$7:$P$906,12,0)),VLOOKUP($A25,'[1]liste reference'!$A$7:$P$906,13,0)))</f>
        <v/>
      </c>
      <c r="H25" s="201" t="str">
        <f aca="false">IF(A25="","x",IF(ISERROR(VLOOKUP($A25,'[1]liste reference'!$A$7:$P$906,14,0)),IF(ISERROR(VLOOKUP($A25,'[1]liste reference'!$B$7:$P$906,13,0)),"x",VLOOKUP($A25,'[1]liste reference'!$B$7:$P$906,13,0)),VLOOKUP($A25,'[1]liste reference'!$A$7:$P$906,14,0)))</f>
        <v>x</v>
      </c>
      <c r="I25" s="220" t="str">
        <f aca="false">IF(ISNUMBER(H25),IF(ISERROR(VLOOKUP($A25,'[1]liste reference'!$A$7:$P$906,3,0)),IF(ISERROR(VLOOKUP($A25,'[1]liste reference'!$B$7:$P$906,2,0)),"",VLOOKUP($A25,'[1]liste reference'!$B$7:$P$906,2,0)),VLOOKUP($A25,'[1]liste reference'!$A$7:$P$906,3,0)),"")</f>
        <v/>
      </c>
      <c r="J25" s="203" t="str">
        <f aca="false">IF(ISNUMBER(H25),IF(ISERROR(VLOOKUP($A25,'[1]liste reference'!$A$7:$P$906,4,0)),IF(ISERROR(VLOOKUP($A25,'[1]liste reference'!$B$7:$P$906,3,0)),"",VLOOKUP($A25,'[1]liste reference'!$B$7:$P$906,3,0)),VLOOKUP($A25,'[1]liste reference'!$A$7:$P$906,4,0)),"")</f>
        <v/>
      </c>
      <c r="K25" s="221" t="str">
        <f aca="false">IF(A25="NEW.COD",AA25,IF(ISTEXT($E25),"DEJA SAISI !",IF(A25="","",IF(ISERROR(VLOOKUP($A25,'[1]liste reference'!$A$7:$D$906,2,0)),IF(ISERROR(VLOOKUP($A25,'[1]liste reference'!$B$7:$D$906,1,0)),"code non répertorié ou synonyme",VLOOKUP($A25,'[1]liste reference'!$B$7:$D$906,1,0)),VLOOKUP(A25,'[1]liste reference'!$A$7:$D$906,2,0)))))</f>
        <v/>
      </c>
      <c r="L25" s="222"/>
      <c r="M25" s="222"/>
      <c r="N25" s="222"/>
      <c r="O25" s="206"/>
      <c r="P25" s="207" t="str">
        <f aca="false">IF(ISTEXT(H25),"",(B25*$B$7/100)+(C25*$C$7/100))</f>
        <v/>
      </c>
      <c r="Q25" s="208" t="str">
        <f aca="false">IF(OR(ISTEXT(H25),P25=0),"",IF(P25&lt;0.1,1,IF(P25&lt;1,2,IF(P25&lt;10,3,IF(P25&lt;50,4,IF(P25&gt;=50,5,""))))))</f>
        <v/>
      </c>
      <c r="R25" s="208" t="n">
        <f aca="false">IF(ISERROR(Q25*I25),0,Q25*I25)</f>
        <v>0</v>
      </c>
      <c r="S25" s="208" t="n">
        <f aca="false">IF(ISERROR(Q25*I25*J25),0,Q25*I25*J25)</f>
        <v>0</v>
      </c>
      <c r="T25" s="223" t="n">
        <f aca="false">IF(ISERROR(Q25*J25),0,Q25*J25)</f>
        <v>0</v>
      </c>
      <c r="U25" s="209" t="str">
        <f aca="false">IF(AND(A25="",F25=0),"",IF(F25=0,"Il manque le(s) % de rec. !",""))</f>
        <v/>
      </c>
      <c r="V25" s="210"/>
      <c r="X25" s="211" t="str">
        <f aca="false">IF(A25="new.cod","NEW.COD",IF(AND((Y25=""),ISTEXT(A25)),A25,IF(Y25="","",INDEX('[1]liste reference'!$A$7:$A$906,Y25))))</f>
        <v/>
      </c>
      <c r="Y25" s="9" t="str">
        <f aca="false">IF(ISERROR(MATCH(A25,'[1]liste reference'!$A$7:$A$906,0)),IF(ISERROR(MATCH(A25,'[1]liste reference'!$B$7:$B$906,0)),"",(MATCH(A25,'[1]liste reference'!$B$7:$B$906,0))),(MATCH(A25,'[1]liste reference'!$A$7:$A$906,0)))</f>
        <v/>
      </c>
      <c r="Z25" s="212"/>
      <c r="AA25" s="213"/>
      <c r="BB25" s="9" t="str">
        <f aca="false">IF(A25="","",1)</f>
        <v/>
      </c>
    </row>
    <row r="26" customFormat="false" ht="12.75" hidden="false" customHeight="false" outlineLevel="0" collapsed="false">
      <c r="A26" s="214"/>
      <c r="B26" s="215"/>
      <c r="C26" s="216"/>
      <c r="D26" s="217" t="str">
        <f aca="false">IF(ISERROR(VLOOKUP($A26,'[1]liste reference'!$A$7:$D$906,2,0)),IF(ISERROR(VLOOKUP($A26,'[1]liste reference'!$B$7:$D$906,1,0)),"",VLOOKUP($A26,'[1]liste reference'!$B$7:$D$906,1,0)),VLOOKUP($A26,'[1]liste reference'!$A$7:$D$906,2,0))</f>
        <v/>
      </c>
      <c r="E26" s="217" t="n">
        <f aca="false">IF(D26="",0,VLOOKUP(D26,D$22:D25,1,0))</f>
        <v>0</v>
      </c>
      <c r="F26" s="218" t="n">
        <f aca="false">($B26*$B$7+$C26*$C$7)/100</f>
        <v>0</v>
      </c>
      <c r="G26" s="219" t="str">
        <f aca="false">IF(A26="","",IF(ISERROR(VLOOKUP($A26,'[1]liste reference'!$A$7:$P$906,13,0)),IF(ISERROR(VLOOKUP($A26,'[1]liste reference'!$B$7:$P$906,12,0)),"    -",VLOOKUP($A26,'[1]liste reference'!$B$7:$P$906,12,0)),VLOOKUP($A26,'[1]liste reference'!$A$7:$P$906,13,0)))</f>
        <v/>
      </c>
      <c r="H26" s="201" t="str">
        <f aca="false">IF(A26="","x",IF(ISERROR(VLOOKUP($A26,'[1]liste reference'!$A$7:$P$906,14,0)),IF(ISERROR(VLOOKUP($A26,'[1]liste reference'!$B$7:$P$906,13,0)),"x",VLOOKUP($A26,'[1]liste reference'!$B$7:$P$906,13,0)),VLOOKUP($A26,'[1]liste reference'!$A$7:$P$906,14,0)))</f>
        <v>x</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
      </c>
      <c r="L26" s="222"/>
      <c r="M26" s="222"/>
      <c r="N26" s="222"/>
      <c r="O26" s="206"/>
      <c r="P26" s="207" t="str">
        <f aca="false">IF(ISTEXT(H26),"",(B26*$B$7/100)+(C26*$C$7/100))</f>
        <v/>
      </c>
      <c r="Q26" s="208" t="str">
        <f aca="false">IF(OR(ISTEXT(H26),P26=0),"",IF(P26&lt;0.1,1,IF(P26&lt;1,2,IF(P26&lt;10,3,IF(P26&lt;50,4,IF(P26&gt;=50,5,""))))))</f>
        <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
      </c>
      <c r="Y26" s="9" t="str">
        <f aca="false">IF(ISERROR(MATCH(A26,'[1]liste reference'!$A$7:$A$906,0)),IF(ISERROR(MATCH(A26,'[1]liste reference'!$B$7:$B$906,0)),"",(MATCH(A26,'[1]liste reference'!$B$7:$B$906,0))),(MATCH(A26,'[1]liste reference'!$A$7:$A$906,0)))</f>
        <v/>
      </c>
      <c r="Z26" s="212"/>
      <c r="AA26" s="213"/>
      <c r="BB26" s="9" t="str">
        <f aca="false">IF(A26="","",1)</f>
        <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72</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VERDON</v>
      </c>
      <c r="B84" s="247" t="str">
        <f aca="false">C3</f>
        <v>ST ANDRE LES ALPES</v>
      </c>
      <c r="C84" s="248" t="n">
        <f aca="false">A4</f>
        <v>40386</v>
      </c>
      <c r="D84" s="249" t="n">
        <f aca="false">IF(ISERROR(SUM($S$23:$S$82)/SUM($T$23:$T$82)),"",SUM($S$23:$S$82)/SUM($T$23:$T$82))</f>
        <v>4.66666666666667</v>
      </c>
      <c r="E84" s="250" t="n">
        <f aca="false">N13</f>
        <v>2</v>
      </c>
      <c r="F84" s="247" t="n">
        <f aca="false">N14</f>
        <v>2</v>
      </c>
      <c r="G84" s="247" t="n">
        <f aca="false">N15</f>
        <v>1</v>
      </c>
      <c r="H84" s="247" t="n">
        <f aca="false">N16</f>
        <v>1</v>
      </c>
      <c r="I84" s="247" t="n">
        <f aca="false">N17</f>
        <v>0</v>
      </c>
      <c r="J84" s="251" t="n">
        <f aca="false">N8</f>
        <v>5</v>
      </c>
      <c r="K84" s="249" t="n">
        <f aca="false">N9</f>
        <v>1.4142135623731</v>
      </c>
      <c r="L84" s="250" t="n">
        <f aca="false">N10</f>
        <v>4</v>
      </c>
      <c r="M84" s="250" t="n">
        <f aca="false">N11</f>
        <v>6</v>
      </c>
      <c r="N84" s="249" t="n">
        <f aca="false">O8</f>
        <v>1.5</v>
      </c>
      <c r="O84" s="249" t="n">
        <f aca="false">O9</f>
        <v>0.707106781186548</v>
      </c>
      <c r="P84" s="250" t="n">
        <f aca="false">O10</f>
        <v>1</v>
      </c>
      <c r="Q84" s="250" t="n">
        <f aca="false">O11</f>
        <v>2</v>
      </c>
      <c r="R84" s="252" t="n">
        <f aca="false">F21</f>
        <v>0.015</v>
      </c>
      <c r="S84" s="250" t="n">
        <f aca="false">K11</f>
        <v>0</v>
      </c>
      <c r="T84" s="250" t="n">
        <f aca="false">K12</f>
        <v>2</v>
      </c>
      <c r="U84" s="250" t="n">
        <f aca="false">K13</f>
        <v>0</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73</v>
      </c>
      <c r="Q86" s="9"/>
      <c r="R86" s="209"/>
      <c r="S86" s="9"/>
      <c r="T86" s="9"/>
      <c r="U86" s="9"/>
    </row>
    <row r="87" customFormat="false" ht="12.75" hidden="true" customHeight="false" outlineLevel="0" collapsed="false">
      <c r="P87" s="9" t="s">
        <v>74</v>
      </c>
      <c r="Q87" s="9"/>
      <c r="R87" s="209" t="n">
        <f aca="false">VLOOKUP(MAX($R$23:$R$82),($R$23:$T$82),1,0)</f>
        <v>6</v>
      </c>
      <c r="S87" s="9"/>
      <c r="T87" s="9"/>
      <c r="U87" s="9"/>
    </row>
    <row r="88" customFormat="false" ht="12.75" hidden="true" customHeight="false" outlineLevel="0" collapsed="false">
      <c r="P88" s="9" t="s">
        <v>75</v>
      </c>
      <c r="Q88" s="9"/>
      <c r="R88" s="209" t="n">
        <f aca="false">VLOOKUP((R87),($R$23:$T$82),2,0)</f>
        <v>6</v>
      </c>
      <c r="S88" s="9"/>
      <c r="T88" s="9"/>
      <c r="U88" s="9"/>
    </row>
    <row r="89" customFormat="false" ht="12.75" hidden="true" customHeight="false" outlineLevel="0" collapsed="false">
      <c r="P89" s="9" t="s">
        <v>76</v>
      </c>
      <c r="Q89" s="9"/>
      <c r="R89" s="209" t="n">
        <f aca="false">VLOOKUP((R87),($R$23:$T$82),3,0)</f>
        <v>1</v>
      </c>
      <c r="S89" s="9"/>
    </row>
    <row r="90" customFormat="false" ht="12.75" hidden="true" customHeight="false" outlineLevel="0" collapsed="false">
      <c r="P90" s="9" t="s">
        <v>77</v>
      </c>
      <c r="Q90" s="9"/>
      <c r="R90" s="257" t="n">
        <f aca="false">IF(ISERROR(SUM($S$23:$S$82)/SUM($T$23:$T$82)),"",(SUM($S$23:$S$82)-R88)/(SUM($T$23:$T$82)-R89))</f>
        <v>4</v>
      </c>
      <c r="S90" s="9"/>
    </row>
    <row r="91" customFormat="false" ht="12.75" hidden="true" customHeight="false" outlineLevel="0" collapsed="false">
      <c r="P91" s="208" t="s">
        <v>78</v>
      </c>
      <c r="Q91" s="208"/>
      <c r="R91" s="208" t="str">
        <f aca="false">INDEX('[1]liste reference'!$A$7:$A$906,$S$91)</f>
        <v>CLA.SPX</v>
      </c>
      <c r="S91" s="9" t="n">
        <f aca="false">IF(ISERROR(MATCH($R$93,'[1]liste reference'!$A$7:$A$906,0)),MATCH($R$93,'[1]liste reference'!$B$7:$B$906,0),(MATCH($R$93,'[1]liste reference'!$A$7:$A$906,0)))</f>
        <v>24</v>
      </c>
      <c r="T91" s="245"/>
    </row>
    <row r="92" customFormat="false" ht="12.75" hidden="true" customHeight="false" outlineLevel="0" collapsed="false">
      <c r="P92" s="9" t="s">
        <v>79</v>
      </c>
      <c r="Q92" s="9"/>
      <c r="R92" s="9" t="n">
        <f aca="false">MATCH(R87,$R$23:$R$82,0)</f>
        <v>1</v>
      </c>
      <c r="S92" s="9"/>
    </row>
    <row r="93" customFormat="false" ht="12.75" hidden="true" customHeight="false" outlineLevel="0" collapsed="false">
      <c r="P93" s="208" t="s">
        <v>80</v>
      </c>
      <c r="Q93" s="9"/>
      <c r="R93" s="208" t="str">
        <f aca="false">INDEX($A$23:$A$82,$R$92)</f>
        <v>CLA.SPX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2013-10-22T10:19:07Z</dcterms:created>
  <dc:creator>elise.carnet</dc:creator>
  <dc:description/>
  <dc:language>fr-FR</dc:language>
  <cp:lastModifiedBy>elise.carnet</cp:lastModifiedBy>
  <dcterms:modified xsi:type="dcterms:W3CDTF">2013-10-23T15:07:08Z</dcterms:modified>
  <cp:revision>0</cp:revision>
  <dc:subject/>
  <dc:title/>
</cp:coreProperties>
</file>