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erdon-Vinon" sheetId="1" state="visible" r:id="rId3"/>
  </sheets>
  <externalReferences>
    <externalReference r:id="rId4"/>
  </externalReferences>
  <definedNames>
    <definedName function="false" hidden="false" localSheetId="0" name="_xlnm.Print_Area" vbProcedure="false">'Verdon-Vinon'!$A$1:$O$82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'Verdon-Vinon'!$A$23:$J$84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<sst xmlns="http://schemas.openxmlformats.org/spreadsheetml/2006/main" count="103" uniqueCount="99">
  <si>
    <t xml:space="preserve">Relevés floristiques aquatiques - IBMR</t>
  </si>
  <si>
    <t xml:space="preserve">GIS Macrophytes - juillet 2006</t>
  </si>
  <si>
    <t xml:space="preserve">ASCONIT</t>
  </si>
  <si>
    <t xml:space="preserve">Aline FARE</t>
  </si>
  <si>
    <t xml:space="preserve">conforme AFNOR T90-395 oct. 2003</t>
  </si>
  <si>
    <t xml:space="preserve">Verdon</t>
  </si>
  <si>
    <t xml:space="preserve">Vinon sur Verdon</t>
  </si>
  <si>
    <t xml:space="preserve">06161500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</si>
  <si>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</si>
  <si>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</si>
  <si>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</si>
  <si>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</si>
  <si>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</si>
  <si>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</si>
  <si>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</si>
  <si>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MOU.SPX</t>
  </si>
  <si>
    <t xml:space="preserve">Type de faciès</t>
  </si>
  <si>
    <t xml:space="preserve">radier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</si>
  <si>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</si>
  <si>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</si>
  <si>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</si>
  <si>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</si>
  <si>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</si>
  <si>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</si>
  <si>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</si>
  <si>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</si>
  <si>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</si>
  <si>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</si>
  <si>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</si>
  <si>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</si>
  <si>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</si>
  <si>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</si>
  <si>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</si>
  <si>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</si>
  <si>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</si>
  <si>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</si>
  <si>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</si>
  <si>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</si>
  <si>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</si>
  <si>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</si>
  <si>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</si>
  <si>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</si>
  <si>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</si>
  <si>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</si>
  <si>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</si>
  <si>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</si>
  <si>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</si>
  <si>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</si>
  <si>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</si>
  <si>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</si>
  <si>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</si>
  <si>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</si>
  <si>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</si>
  <si>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</si>
  <si>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</si>
  <si>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</si>
  <si>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</si>
  <si>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</si>
  <si>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</si>
  <si>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</si>
  <si>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</si>
  <si>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</si>
  <si>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</si>
  <si>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</si>
  <si>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</si>
  <si>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</si>
  <si>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</si>
  <si>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</si>
  <si>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</si>
  <si>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</si>
  <si>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</si>
  <si>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</si>
  <si>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</si>
  <si>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VAU.SPX</t>
  </si>
  <si>
    <t xml:space="preserve">CLA.SPX</t>
  </si>
  <si>
    <t xml:space="preserve">SPI.SPX</t>
  </si>
  <si>
    <t xml:space="preserve">LYC.EUR</t>
  </si>
  <si>
    <t xml:space="preserve">NAS.OFF</t>
  </si>
  <si>
    <t xml:space="preserve">API.NOD</t>
  </si>
  <si>
    <t xml:space="preserve">PHA.ARU</t>
  </si>
  <si>
    <t xml:space="preserve">POT.PEC</t>
  </si>
  <si>
    <t xml:space="preserve">EQU.PAL</t>
  </si>
  <si>
    <t xml:space="preserve">CAR.PSE</t>
  </si>
  <si>
    <t xml:space="preserve">IRI.PSE</t>
  </si>
  <si>
    <t xml:space="preserve">GRO.DEN</t>
  </si>
  <si>
    <t xml:space="preserve">MEN.LON</t>
  </si>
  <si>
    <t xml:space="preserve">JUN.ART</t>
  </si>
  <si>
    <t xml:space="preserve">LYT.SAL</t>
  </si>
  <si>
    <t xml:space="preserve">CYP.SPX</t>
  </si>
  <si>
    <t xml:space="preserve">ELA.ALS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</si>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</sst>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-IBMR-RCS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Ouvèze-Sorgues"/><sheetName val="Eygue-Orange"/><sheetName val="Lez-Mondragon"/><sheetName val="Argens-Thoronet"/><sheetName val="Argens-Roquebrune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40018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9.41176470588235</v>
      </c>
      <c r="M5" s="52"/>
      <c r="N5" s="53" t="s">
        <v>15</v>
      </c>
      <c r="O5" s="54" t="n">
        <v>8.30769230769231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</v>
      </c>
      <c r="O8" s="83" t="n">
        <f aca="false">AVERAGE(J23:J82)</f>
        <v>1.25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3.24737656354395</v>
      </c>
      <c r="O9" s="83" t="n">
        <f aca="false">STDEV(J23:J82)</f>
        <v>0.452267016866645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2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13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0.36</v>
      </c>
      <c r="C12" s="118"/>
      <c r="D12" s="110"/>
      <c r="E12" s="110"/>
      <c r="F12" s="111" t="n">
        <f aca="false">($B12*$B$7+$C12*$C$7)/100</f>
        <v>0.36</v>
      </c>
      <c r="G12" s="119"/>
      <c r="H12" s="67"/>
      <c r="I12" s="120" t="s">
        <v>36</v>
      </c>
      <c r="J12" s="120"/>
      <c r="K12" s="114" t="n">
        <f aca="false">COUNTIF($G$23:$G$82,"=ALG")</f>
        <v>4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</v>
      </c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18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12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0.17</v>
      </c>
      <c r="C15" s="133"/>
      <c r="D15" s="110"/>
      <c r="E15" s="110"/>
      <c r="F15" s="111" t="n">
        <f aca="false">($B15*$B$7+$C15*$C$7)/100</f>
        <v>0.17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13</v>
      </c>
      <c r="L15" s="115"/>
      <c r="M15" s="134" t="s">
        <v>45</v>
      </c>
      <c r="N15" s="135" t="n">
        <f aca="false">COUNTIF(J23:J82,"=1")</f>
        <v>9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3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0.44</v>
      </c>
      <c r="C17" s="118"/>
      <c r="D17" s="110"/>
      <c r="E17" s="110"/>
      <c r="F17" s="140"/>
      <c r="G17" s="111" t="n">
        <f aca="false">($B17*$B$7+$C17*$C$7)/100</f>
        <v>0.44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0.1</v>
      </c>
      <c r="C18" s="143"/>
      <c r="D18" s="110"/>
      <c r="E18" s="144" t="s">
        <v>51</v>
      </c>
      <c r="F18" s="140"/>
      <c r="G18" s="111" t="n">
        <f aca="false">($B18*$B$7+$C18*$C$7)/100</f>
        <v>0.1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0.54</v>
      </c>
      <c r="G19" s="152" t="n">
        <f aca="false">SUM(G16:G18)</f>
        <v>0.54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0.52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0.52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0.52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0.52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15</v>
      </c>
      <c r="B23" s="196" t="n">
        <v>0.31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Mougeotia sp.</v>
      </c>
      <c r="E23" s="198" t="e">
        <f aca="false">IF(D23="",0,VLOOKUP(D23,D$22:D22,1,0))</f>
        <v>#N/A</v>
      </c>
      <c r="F23" s="199" t="n">
        <f aca="false">($B23*$B$7+$C23*$C$7)/100</f>
        <v>0.31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13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Mougeotia sp.</v>
      </c>
      <c r="L23" s="205"/>
      <c r="M23" s="205"/>
      <c r="N23" s="205"/>
      <c r="O23" s="206"/>
      <c r="P23" s="207" t="n">
        <f aca="false">IF(ISTEXT(H23),"",(B23*$B$7/100)+(C23*$C$7/100))</f>
        <v>0.31</v>
      </c>
      <c r="Q23" s="208" t="n">
        <f aca="false">IF(OR(ISTEXT(H23),P23=0),"",IF(P23&lt;0.1,1,IF(P23&lt;1,2,IF(P23&lt;10,3,IF(P23&lt;50,4,IF(P23&gt;=50,5,""))))))</f>
        <v>2</v>
      </c>
      <c r="R23" s="208" t="n">
        <f aca="false">IF(ISERROR(Q23*I23),0,Q23*I23)</f>
        <v>26</v>
      </c>
      <c r="S23" s="208" t="n">
        <f aca="false">IF(ISERROR(Q23*I23*J23),0,Q23*I23*J23)</f>
        <v>52</v>
      </c>
      <c r="T23" s="208" t="n">
        <f aca="false">IF(ISERROR(Q23*J23),0,Q23*J23)</f>
        <v>4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MOU.SPX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44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73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Vaucheria sp.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4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Vaucheria sp.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4</v>
      </c>
      <c r="S24" s="208" t="n">
        <f aca="false">IF(ISERROR(Q24*I24*J24),0,Q24*I24*J24)</f>
        <v>4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VAU.SPX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83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74</v>
      </c>
      <c r="B25" s="215" t="n">
        <v>0.03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Cladophora sp. </v>
      </c>
      <c r="E25" s="217" t="e">
        <f aca="false">IF(D25="",0,VLOOKUP(D25,D$22:D24,1,0))</f>
        <v>#N/A</v>
      </c>
      <c r="F25" s="218" t="n">
        <f aca="false">($B25*$B$7+$C25*$C$7)/100</f>
        <v>0.03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6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Cladophora sp. </v>
      </c>
      <c r="L25" s="222"/>
      <c r="M25" s="222"/>
      <c r="N25" s="222"/>
      <c r="O25" s="206"/>
      <c r="P25" s="207" t="n">
        <f aca="false">IF(ISTEXT(H25),"",(B25*$B$7/100)+(C25*$C$7/100))</f>
        <v>0.03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6</v>
      </c>
      <c r="S25" s="208" t="n">
        <f aca="false">IF(ISERROR(Q25*I25*J25),0,Q25*I25*J25)</f>
        <v>6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CLA.SPX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24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Spirogyra sp.       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Spirogyra sp.       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10</v>
      </c>
      <c r="S26" s="208" t="n">
        <f aca="false">IF(ISERROR(Q26*I26*J26),0,Q26*I26*J26)</f>
        <v>10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SPI.SPX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70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Lycopus europaeus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PHe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8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11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1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Lycopus europaeus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11</v>
      </c>
      <c r="S27" s="208" t="n">
        <f aca="false">IF(ISERROR(Q27*I27*J27),0,Q27*I27*J27)</f>
        <v>11</v>
      </c>
      <c r="T27" s="223" t="n">
        <f aca="false">IF(ISERROR(Q27*J27),0,Q27*J27)</f>
        <v>1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LYC.EUR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602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Nasturtium officinale (Rorippa nasturtium-aquaticum)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PHe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8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11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Nasturtium officinale (Rorippa nasturtium-aquaticum)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11</v>
      </c>
      <c r="S28" s="208" t="n">
        <f aca="false">IF(ISERROR(Q28*I28*J28),0,Q28*I28*J28)</f>
        <v>11</v>
      </c>
      <c r="T28" s="223" t="n">
        <f aca="false">IF(ISERROR(Q28*J28),0,Q28*J28)</f>
        <v>1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NAS.OFF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634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Apium nodiflorum (Sium nodiflorum)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PHy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7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10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1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Apium nodiflorum (Sium nodiflorum)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10</v>
      </c>
      <c r="S29" s="208" t="n">
        <f aca="false">IF(ISERROR(Q29*I29*J29),0,Q29*I29*J29)</f>
        <v>10</v>
      </c>
      <c r="T29" s="223" t="n">
        <f aca="false">IF(ISERROR(Q29*J29),0,Q29*J29)</f>
        <v>1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API.NOD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310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Phalaris arundinacea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8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10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1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Phalaris arundinacea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10</v>
      </c>
      <c r="S30" s="208" t="n">
        <f aca="false">IF(ISERROR(Q30*I30*J30),0,Q30*I30*J30)</f>
        <v>10</v>
      </c>
      <c r="T30" s="223" t="n">
        <f aca="false">IF(ISERROR(Q30*J30),0,Q30*J30)</f>
        <v>1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PHA.ARU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640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0.03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Potamogeton pectinatus    </v>
      </c>
      <c r="E31" s="217" t="e">
        <f aca="false">IF(D31="",0,VLOOKUP(D31,D$21:D30,1,0))</f>
        <v>#N/A</v>
      </c>
      <c r="F31" s="218" t="n">
        <f aca="false">($B31*$B$7+$C31*$C$7)/100</f>
        <v>0.03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PHy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7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2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2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Potamogeton pectinatus    </v>
      </c>
      <c r="L31" s="222"/>
      <c r="M31" s="222"/>
      <c r="N31" s="222"/>
      <c r="O31" s="206"/>
      <c r="P31" s="207" t="n">
        <f aca="false">IF(ISTEXT(H31),"",(B31*$B$7/100)+(C31*$C$7/100))</f>
        <v>0.03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2</v>
      </c>
      <c r="S31" s="208" t="n">
        <f aca="false">IF(ISERROR(Q31*I31*J31),0,Q31*I31*J31)</f>
        <v>4</v>
      </c>
      <c r="T31" s="223" t="n">
        <f aca="false">IF(ISERROR(Q31*J31),0,Q31*J31)</f>
        <v>2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POT.PEC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425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Equisetum palustre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PTE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6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10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1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Equisetum palustre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10</v>
      </c>
      <c r="S32" s="208" t="n">
        <f aca="false">IF(ISERROR(Q32*I32*J32),0,Q32*I32*J32)</f>
        <v>10</v>
      </c>
      <c r="T32" s="223" t="n">
        <f aca="false">IF(ISERROR(Q32*J32),0,Q32*J32)</f>
        <v>1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EQU.PAL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282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Carex pseudocyperus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PHe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8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Carex pseudocyperus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CAR.PSE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548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 t="n">
        <v>0.01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Iris pseudacorus</v>
      </c>
      <c r="E34" s="217" t="e">
        <f aca="false">IF(D34="",0,VLOOKUP(D34,D$22:D33,1,0))</f>
        <v>#N/A</v>
      </c>
      <c r="F34" s="227" t="n">
        <f aca="false">($B34*$B$7+$C34*$C$7)/100</f>
        <v>0.01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PHe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8</v>
      </c>
      <c r="I34" s="220" t="n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>10</v>
      </c>
      <c r="J34" s="203" t="n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>1</v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Iris pseudacorus</v>
      </c>
      <c r="L34" s="225"/>
      <c r="M34" s="225"/>
      <c r="N34" s="225"/>
      <c r="O34" s="226"/>
      <c r="P34" s="207" t="n">
        <f aca="false">IF(ISTEXT(H34),"",(B34*$B$7/100)+(C34*$C$7/100))</f>
        <v>0.01</v>
      </c>
      <c r="Q34" s="208" t="n">
        <f aca="false">IF(OR(ISTEXT(H34),P34=0),"",IF(P34&lt;0.1,1,IF(P34&lt;1,2,IF(P34&lt;10,3,IF(P34&lt;50,4,IF(P34&gt;=50,5,""))))))</f>
        <v>1</v>
      </c>
      <c r="R34" s="208" t="n">
        <f aca="false">IF(ISERROR(Q34*I34),0,Q34*I34)</f>
        <v>10</v>
      </c>
      <c r="S34" s="208" t="n">
        <f aca="false">IF(ISERROR(Q34*I34*J34),0,Q34*I34*J34)</f>
        <v>10</v>
      </c>
      <c r="T34" s="223" t="n">
        <f aca="false">IF(ISERROR(Q34*J34),0,Q34*J34)</f>
        <v>1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IRI.PSE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588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 t="n">
        <v>0.01</v>
      </c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Groenlandia densa (Potamogeton densus)</v>
      </c>
      <c r="E35" s="217" t="e">
        <f aca="false">IF(D35="",0,VLOOKUP(D35,D$22:D34,1,0))</f>
        <v>#N/A</v>
      </c>
      <c r="F35" s="227" t="n">
        <f aca="false">($B35*$B$7+$C35*$C$7)/100</f>
        <v>0.01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PHy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7</v>
      </c>
      <c r="I35" s="220" t="n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>11</v>
      </c>
      <c r="J35" s="203" t="n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>2</v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Groenlandia densa (Potamogeton densus)</v>
      </c>
      <c r="L35" s="222"/>
      <c r="M35" s="222"/>
      <c r="N35" s="222"/>
      <c r="O35" s="206"/>
      <c r="P35" s="207" t="n">
        <f aca="false">IF(ISTEXT(H35),"",(B35*$B$7/100)+(C35*$C$7/100))</f>
        <v>0.01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11</v>
      </c>
      <c r="S35" s="208" t="n">
        <f aca="false">IF(ISERROR(Q35*I35*J35),0,Q35*I35*J35)</f>
        <v>22</v>
      </c>
      <c r="T35" s="223" t="n">
        <f aca="false">IF(ISERROR(Q35*J35),0,Q35*J35)</f>
        <v>2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GRO.DEN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348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 t="s">
        <v>85</v>
      </c>
      <c r="B36" s="215" t="n">
        <v>0.01</v>
      </c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>Mentha longifolia</v>
      </c>
      <c r="E36" s="217" t="e">
        <f aca="false">IF(D36="",0,VLOOKUP(D36,D$22:D35,1,0))</f>
        <v>#N/A</v>
      </c>
      <c r="F36" s="227" t="n">
        <f aca="false">($B36*$B$7+$C36*$C$7)/100</f>
        <v>0.01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>PHe</v>
      </c>
      <c r="H36" s="201" t="n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8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>Mentha longifolia</v>
      </c>
      <c r="L36" s="222"/>
      <c r="M36" s="222"/>
      <c r="N36" s="222"/>
      <c r="O36" s="206"/>
      <c r="P36" s="207" t="n">
        <f aca="false">IF(ISTEXT(H36),"",(B36*$B$7/100)+(C36*$C$7/100))</f>
        <v>0.01</v>
      </c>
      <c r="Q36" s="208" t="n">
        <f aca="false">IF(OR(ISTEXT(H36),P36=0),"",IF(P36&lt;0.1,1,IF(P36&lt;1,2,IF(P36&lt;10,3,IF(P36&lt;50,4,IF(P36&gt;=50,5,""))))))</f>
        <v>1</v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>MEN.LON</v>
      </c>
      <c r="Y36" s="9" t="n">
        <f aca="false">IF(ISERROR(MATCH(A36,'[1]liste reference'!$A$7:$A$906,0)),IF(ISERROR(MATCH(A36,'[1]liste reference'!$B$7:$B$906,0)),"",(MATCH(A36,'[1]liste reference'!$B$7:$B$906,0))),(MATCH(A36,'[1]liste reference'!$A$7:$A$906,0)))</f>
        <v>615</v>
      </c>
      <c r="Z36" s="212"/>
      <c r="AA36" s="213"/>
      <c r="BB36" s="9" t="n">
        <f aca="false">IF(A36="","",1)</f>
        <v>1</v>
      </c>
    </row>
    <row r="37" customFormat="false" ht="12.75" hidden="false" customHeight="false" outlineLevel="0" collapsed="false">
      <c r="A37" s="214" t="s">
        <v>86</v>
      </c>
      <c r="B37" s="215" t="n">
        <v>0.01</v>
      </c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>Juncus articulatus</v>
      </c>
      <c r="E37" s="217" t="e">
        <f aca="false">IF(D37="",0,VLOOKUP(D37,D$22:D36,1,0))</f>
        <v>#N/A</v>
      </c>
      <c r="F37" s="227" t="n">
        <f aca="false">($B37*$B$7+$C37*$C$7)/100</f>
        <v>0.01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>PHg</v>
      </c>
      <c r="H37" s="201" t="n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9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>Juncus articulatus</v>
      </c>
      <c r="L37" s="222"/>
      <c r="M37" s="222"/>
      <c r="N37" s="222"/>
      <c r="O37" s="206"/>
      <c r="P37" s="207" t="n">
        <f aca="false">IF(ISTEXT(H37),"",(B37*$B$7/100)+(C37*$C$7/100))</f>
        <v>0.01</v>
      </c>
      <c r="Q37" s="208" t="n">
        <f aca="false">IF(OR(ISTEXT(H37),P37=0),"",IF(P37&lt;0.1,1,IF(P37&lt;1,2,IF(P37&lt;10,3,IF(P37&lt;50,4,IF(P37&gt;=50,5,""))))))</f>
        <v>1</v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>JUN.ART</v>
      </c>
      <c r="Y37" s="9" t="n">
        <f aca="false">IF(ISERROR(MATCH(A37,'[1]liste reference'!$A$7:$A$906,0)),IF(ISERROR(MATCH(A37,'[1]liste reference'!$B$7:$B$906,0)),"",(MATCH(A37,'[1]liste reference'!$B$7:$B$906,0))),(MATCH(A37,'[1]liste reference'!$A$7:$A$906,0)))</f>
        <v>775</v>
      </c>
      <c r="Z37" s="212"/>
      <c r="AA37" s="213"/>
      <c r="BB37" s="9" t="n">
        <f aca="false">IF(A37="","",1)</f>
        <v>1</v>
      </c>
    </row>
    <row r="38" customFormat="false" ht="12.75" hidden="false" customHeight="false" outlineLevel="0" collapsed="false">
      <c r="A38" s="214" t="s">
        <v>87</v>
      </c>
      <c r="B38" s="215" t="n">
        <v>0.01</v>
      </c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>Lythrum salicaria</v>
      </c>
      <c r="E38" s="217" t="e">
        <f aca="false">IF(D38="",0,VLOOKUP(D38,D$22:D37,1,0))</f>
        <v>#N/A</v>
      </c>
      <c r="F38" s="227" t="n">
        <f aca="false">($B38*$B$7+$C38*$C$7)/100</f>
        <v>0.01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>PHe</v>
      </c>
      <c r="H38" s="201" t="n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8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>Lythrum salicaria</v>
      </c>
      <c r="L38" s="222"/>
      <c r="M38" s="222"/>
      <c r="N38" s="222"/>
      <c r="O38" s="206"/>
      <c r="P38" s="207" t="n">
        <f aca="false">IF(ISTEXT(H38),"",(B38*$B$7/100)+(C38*$C$7/100))</f>
        <v>0.01</v>
      </c>
      <c r="Q38" s="208" t="n">
        <f aca="false">IF(OR(ISTEXT(H38),P38=0),"",IF(P38&lt;0.1,1,IF(P38&lt;1,2,IF(P38&lt;10,3,IF(P38&lt;50,4,IF(P38&gt;=50,5,""))))))</f>
        <v>1</v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>LYT.SAL</v>
      </c>
      <c r="Y38" s="9" t="n">
        <f aca="false">IF(ISERROR(MATCH(A38,'[1]liste reference'!$A$7:$A$906,0)),IF(ISERROR(MATCH(A38,'[1]liste reference'!$B$7:$B$906,0)),"",(MATCH(A38,'[1]liste reference'!$B$7:$B$906,0))),(MATCH(A38,'[1]liste reference'!$A$7:$A$906,0)))</f>
        <v>611</v>
      </c>
      <c r="Z38" s="212"/>
      <c r="AA38" s="213"/>
      <c r="BB38" s="9" t="n">
        <f aca="false">IF(A38="","",1)</f>
        <v>1</v>
      </c>
    </row>
    <row r="39" customFormat="false" ht="12.75" hidden="false" customHeight="false" outlineLevel="0" collapsed="false">
      <c r="A39" s="214" t="s">
        <v>88</v>
      </c>
      <c r="B39" s="215" t="n">
        <v>0.01</v>
      </c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>Cyperus sp.</v>
      </c>
      <c r="E39" s="217" t="e">
        <f aca="false">IF(D39="",0,VLOOKUP(D39,D$22:D38,1,0))</f>
        <v>#N/A</v>
      </c>
      <c r="F39" s="227" t="n">
        <f aca="false">($B39*$B$7+$C39*$C$7)/100</f>
        <v>0.01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>PHg</v>
      </c>
      <c r="H39" s="201" t="n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9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>Cyperus sp.</v>
      </c>
      <c r="L39" s="222"/>
      <c r="M39" s="222"/>
      <c r="N39" s="222"/>
      <c r="O39" s="206"/>
      <c r="P39" s="207" t="n">
        <f aca="false">IF(ISTEXT(H39),"",(B39*$B$7/100)+(C39*$C$7/100))</f>
        <v>0.01</v>
      </c>
      <c r="Q39" s="208" t="n">
        <f aca="false">IF(OR(ISTEXT(H39),P39=0),"",IF(P39&lt;0.1,1,IF(P39&lt;1,2,IF(P39&lt;10,3,IF(P39&lt;50,4,IF(P39&gt;=50,5,""))))))</f>
        <v>1</v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>CYP.SPX</v>
      </c>
      <c r="Y39" s="9" t="n">
        <f aca="false">IF(ISERROR(MATCH(A39,'[1]liste reference'!$A$7:$A$906,0)),IF(ISERROR(MATCH(A39,'[1]liste reference'!$B$7:$B$906,0)),"",(MATCH(A39,'[1]liste reference'!$B$7:$B$906,0))),(MATCH(A39,'[1]liste reference'!$A$7:$A$906,0)))</f>
        <v>733</v>
      </c>
      <c r="Z39" s="212"/>
      <c r="AA39" s="213"/>
      <c r="BB39" s="9" t="n">
        <f aca="false">IF(A39="","",1)</f>
        <v>1</v>
      </c>
    </row>
    <row r="40" customFormat="false" ht="12.75" hidden="false" customHeight="false" outlineLevel="0" collapsed="false">
      <c r="A40" s="214" t="s">
        <v>89</v>
      </c>
      <c r="B40" s="215" t="n">
        <v>0.01</v>
      </c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>Elatine alsinastrum</v>
      </c>
      <c r="E40" s="217" t="e">
        <f aca="false">IF(D40="",0,VLOOKUP(D40,D$22:D39,1,0))</f>
        <v>#N/A</v>
      </c>
      <c r="F40" s="227" t="n">
        <f aca="false">($B40*$B$7+$C40*$C$7)/100</f>
        <v>0.01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>PHg</v>
      </c>
      <c r="H40" s="201" t="n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9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>Elatine alsinastrum</v>
      </c>
      <c r="L40" s="222"/>
      <c r="M40" s="222"/>
      <c r="N40" s="222"/>
      <c r="O40" s="206"/>
      <c r="P40" s="207" t="n">
        <f aca="false">IF(ISTEXT(H40),"",(B40*$B$7/100)+(C40*$C$7/100))</f>
        <v>0.01</v>
      </c>
      <c r="Q40" s="208" t="n">
        <f aca="false">IF(OR(ISTEXT(H40),P40=0),"",IF(P40&lt;0.1,1,IF(P40&lt;1,2,IF(P40&lt;10,3,IF(P40&lt;50,4,IF(P40&gt;=50,5,""))))))</f>
        <v>1</v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>ELA.ALS</v>
      </c>
      <c r="Y40" s="9" t="n">
        <f aca="false">IF(ISERROR(MATCH(A40,'[1]liste reference'!$A$7:$A$906,0)),IF(ISERROR(MATCH(A40,'[1]liste reference'!$B$7:$B$906,0)),"",(MATCH(A40,'[1]liste reference'!$B$7:$B$906,0))),(MATCH(A40,'[1]liste reference'!$A$7:$A$906,0)))</f>
        <v>736</v>
      </c>
      <c r="Z40" s="212"/>
      <c r="AA40" s="213"/>
      <c r="BB40" s="9" t="n">
        <f aca="false">IF(A40="","",1)</f>
        <v>1</v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90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Verdon</v>
      </c>
      <c r="B84" s="247" t="str">
        <f aca="false">C3</f>
        <v>Vinon sur Verdon</v>
      </c>
      <c r="C84" s="248" t="n">
        <f aca="false">A4</f>
        <v>40018</v>
      </c>
      <c r="D84" s="249" t="n">
        <f aca="false">IF(ISERROR(SUM($S$23:$S$82)/SUM($T$23:$T$82)),"",SUM($S$23:$S$82)/SUM($T$23:$T$82))</f>
        <v>9.41176470588235</v>
      </c>
      <c r="E84" s="250" t="n">
        <f aca="false">N13</f>
        <v>18</v>
      </c>
      <c r="F84" s="247" t="n">
        <f aca="false">N14</f>
        <v>12</v>
      </c>
      <c r="G84" s="247" t="n">
        <f aca="false">N15</f>
        <v>9</v>
      </c>
      <c r="H84" s="247" t="n">
        <f aca="false">N16</f>
        <v>3</v>
      </c>
      <c r="I84" s="247" t="n">
        <f aca="false">N17</f>
        <v>0</v>
      </c>
      <c r="J84" s="251" t="n">
        <f aca="false">N8</f>
        <v>9</v>
      </c>
      <c r="K84" s="249" t="n">
        <f aca="false">N9</f>
        <v>3.24737656354395</v>
      </c>
      <c r="L84" s="250" t="n">
        <f aca="false">N10</f>
        <v>2</v>
      </c>
      <c r="M84" s="250" t="n">
        <f aca="false">N11</f>
        <v>13</v>
      </c>
      <c r="N84" s="249" t="n">
        <f aca="false">O8</f>
        <v>1.25</v>
      </c>
      <c r="O84" s="249" t="n">
        <f aca="false">O9</f>
        <v>0.452267016866645</v>
      </c>
      <c r="P84" s="250" t="n">
        <f aca="false">O10</f>
        <v>1</v>
      </c>
      <c r="Q84" s="250" t="n">
        <f aca="false">O11</f>
        <v>2</v>
      </c>
      <c r="R84" s="252" t="n">
        <f aca="false">F21</f>
        <v>0.52</v>
      </c>
      <c r="S84" s="250" t="n">
        <f aca="false">K11</f>
        <v>0</v>
      </c>
      <c r="T84" s="250" t="n">
        <f aca="false">K12</f>
        <v>4</v>
      </c>
      <c r="U84" s="250" t="n">
        <f aca="false">K13</f>
        <v>0</v>
      </c>
      <c r="V84" s="253" t="n">
        <f aca="false">K14</f>
        <v>1</v>
      </c>
      <c r="W84" s="254" t="n">
        <f aca="false">K15</f>
        <v>13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91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92</v>
      </c>
      <c r="Q87" s="9"/>
      <c r="R87" s="209" t="n">
        <f aca="false">VLOOKUP(MAX($R$23:$R$82),($R$23:$T$82),1,0)</f>
        <v>26</v>
      </c>
      <c r="S87" s="9"/>
      <c r="T87" s="9"/>
      <c r="U87" s="9"/>
    </row>
    <row r="88" customFormat="false" ht="12.75" hidden="true" customHeight="false" outlineLevel="0" collapsed="false">
      <c r="P88" s="9" t="s">
        <v>93</v>
      </c>
      <c r="Q88" s="9"/>
      <c r="R88" s="209" t="n">
        <f aca="false">VLOOKUP((R87),($R$23:$T$82),2,0)</f>
        <v>52</v>
      </c>
      <c r="S88" s="9"/>
      <c r="T88" s="9"/>
      <c r="U88" s="9"/>
    </row>
    <row r="89" customFormat="false" ht="12.75" hidden="true" customHeight="false" outlineLevel="0" collapsed="false">
      <c r="P89" s="9" t="s">
        <v>94</v>
      </c>
      <c r="Q89" s="9"/>
      <c r="R89" s="209" t="n">
        <f aca="false">VLOOKUP((R87),($R$23:$T$82),3,0)</f>
        <v>4</v>
      </c>
      <c r="S89" s="9"/>
    </row>
    <row r="90" customFormat="false" ht="12.75" hidden="true" customHeight="false" outlineLevel="0" collapsed="false">
      <c r="P90" s="9" t="s">
        <v>95</v>
      </c>
      <c r="Q90" s="9"/>
      <c r="R90" s="257" t="n">
        <f aca="false">IF(ISERROR(SUM($S$23:$S$82)/SUM($T$23:$T$82)),"",(SUM($S$23:$S$82)-R88)/(SUM($T$23:$T$82)-R89))</f>
        <v>8.30769230769231</v>
      </c>
      <c r="S90" s="9"/>
    </row>
    <row r="91" customFormat="false" ht="12.75" hidden="true" customHeight="false" outlineLevel="0" collapsed="false">
      <c r="P91" s="208" t="s">
        <v>96</v>
      </c>
      <c r="Q91" s="208"/>
      <c r="R91" s="208" t="str">
        <f aca="false">INDEX('[1]liste reference'!$A$7:$A$906,$S$91)</f>
        <v>MOU.SPX</v>
      </c>
      <c r="S91" s="9" t="n">
        <f aca="false">IF(ISERROR(MATCH($R$93,'[1]liste reference'!$A$7:$A$906,0)),MATCH($R$93,'[1]liste reference'!$B$7:$B$906,0),(MATCH($R$93,'[1]liste reference'!$A$7:$A$906,0)))</f>
        <v>44</v>
      </c>
      <c r="T91" s="245"/>
    </row>
    <row r="92" customFormat="false" ht="12.75" hidden="true" customHeight="false" outlineLevel="0" collapsed="false">
      <c r="P92" s="9" t="s">
        <v>97</v>
      </c>
      <c r="Q92" s="9"/>
      <c r="R92" s="9" t="n">
        <f aca="false">MATCH(R87,$R$23:$R$82,0)</f>
        <v>1</v>
      </c>
      <c r="S92" s="9"/>
    </row>
    <row r="93" customFormat="false" ht="12.75" hidden="true" customHeight="false" outlineLevel="0" collapsed="false">
      <c r="P93" s="208" t="s">
        <v>98</v>
      </c>
      <c r="Q93" s="9"/>
      <c r="R93" s="208" t="str">
        <f aca="false">INDEX($A$23:$A$82,$R$92)</f>
        <v>MOU.SPX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2013-10-22T12:25:50Z</dcterms:created>
  <dc:creator>elise.carnet</dc:creator>
  <dc:description/>
  <dc:language>fr-FR</dc:language>
  <cp:lastModifiedBy>elise.carnet</cp:lastModifiedBy>
  <dcterms:modified xsi:type="dcterms:W3CDTF">2013-10-23T15:36:38Z</dcterms:modified>
  <cp:revision>0</cp:revision>
  <dc:subject/>
  <dc:title/>
</cp:coreProperties>
</file>