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ulon-Oppede" sheetId="1" state="visible" r:id="rId3"/>
  </sheets>
  <externalReferences>
    <externalReference r:id="rId4"/>
  </externalReferences>
  <definedNames>
    <definedName function="false" hidden="false" localSheetId="0" name="_xlnm.Print_Area" vbProcedure="false">'Coulon-Oppede'!$A$1:$O$82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'Coulon-Oppede'!$A$23:$J$84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<sst xmlns="http://schemas.openxmlformats.org/spreadsheetml/2006/main" count="99" uniqueCount="95">
  <si>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</si>
  <si>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</si>
  <si>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</si>
  <si>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</si>
  <si>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</si>
  <si>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Coulon</t>
  </si>
  <si>
    <t xml:space="preserve">Oppede</t>
  </si>
  <si>
    <t xml:space="preserve">06165050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</si>
  <si>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</si>
  <si>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</si>
  <si>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</si>
  <si>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</si>
  <si>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</si>
  <si>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</si>
  <si>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</si>
  <si>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VER.ANA</t>
  </si>
  <si>
    <t xml:space="preserve">Type de faciès</t>
  </si>
  <si>
    <t xml:space="preserve">pl. lent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</si>
  <si>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</si>
  <si>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</si>
  <si>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</si>
  <si>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</si>
  <si>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</si>
  <si>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</si>
  <si>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</si>
  <si>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</si>
  <si>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</si>
  <si>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</si>
  <si>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</si>
  <si>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</si>
  <si>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</si>
  <si>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</si>
  <si>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</si>
  <si>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</si>
  <si>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</si>
  <si>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</si>
  <si>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</si>
  <si>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</si>
  <si>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</si>
  <si>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</si>
  <si>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</si>
  <si>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</si>
  <si>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</si>
  <si>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</si>
  <si>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</si>
  <si>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</si>
  <si>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</si>
  <si>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</si>
  <si>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</si>
  <si>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</si>
  <si>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</si>
  <si>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</si>
  <si>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</si>
  <si>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</si>
  <si>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</si>
  <si>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</si>
  <si>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</si>
  <si>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</si>
  <si>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</si>
  <si>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</si>
  <si>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</si>
  <si>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</si>
  <si>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</si>
  <si>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</si>
  <si>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</si>
  <si>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</si>
  <si>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</si>
  <si>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</si>
  <si>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</si>
  <si>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</si>
  <si>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</si>
  <si>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</si>
  <si>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</si>
  <si>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SPI.SPX</t>
  </si>
  <si>
    <t xml:space="preserve">CLA.SPX</t>
  </si>
  <si>
    <t xml:space="preserve">OED.SPX</t>
  </si>
  <si>
    <t xml:space="preserve">CHA.SPX</t>
  </si>
  <si>
    <t xml:space="preserve">FIS.CRA</t>
  </si>
  <si>
    <t xml:space="preserve">PHR.AUS</t>
  </si>
  <si>
    <t xml:space="preserve">AGR.STO</t>
  </si>
  <si>
    <t xml:space="preserve">POL.HYD</t>
  </si>
  <si>
    <t xml:space="preserve">NAS.OFF</t>
  </si>
  <si>
    <t xml:space="preserve">SPA.ERE</t>
  </si>
  <si>
    <t xml:space="preserve">LUD.PEP</t>
  </si>
  <si>
    <t xml:space="preserve">GRO.DEN</t>
  </si>
  <si>
    <t xml:space="preserve">EQU.PAL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</si>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</sst>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40016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9.03030303030303</v>
      </c>
      <c r="M5" s="52"/>
      <c r="N5" s="53" t="s">
        <v>15</v>
      </c>
      <c r="O5" s="54" t="n">
        <v>8.59259259259259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/>
      <c r="C6" s="57" t="s">
        <v>17</v>
      </c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/>
      <c r="C7" s="66" t="n">
        <v>100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9.5</v>
      </c>
      <c r="O8" s="83" t="n">
        <f aca="false">AVERAGE(J23:J82)</f>
        <v>1.5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1.93061459832685</v>
      </c>
      <c r="O9" s="83" t="n">
        <f aca="false">STDEV(J23:J82)</f>
        <v>0.522232967867094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/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/>
      <c r="C12" s="118" t="n">
        <v>9.48</v>
      </c>
      <c r="D12" s="110"/>
      <c r="E12" s="110"/>
      <c r="F12" s="111" t="n">
        <f aca="false">($B12*$B$7+$C12*$C$7)/100</f>
        <v>9.48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/>
      <c r="C13" s="118" t="n">
        <v>0.01</v>
      </c>
      <c r="D13" s="110"/>
      <c r="E13" s="110"/>
      <c r="F13" s="111" t="n">
        <f aca="false">($B13*$B$7+$C13*$C$7)/100</f>
        <v>0.01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1</v>
      </c>
      <c r="L13" s="115"/>
      <c r="M13" s="125" t="s">
        <v>39</v>
      </c>
      <c r="N13" s="126" t="n">
        <f aca="false">COUNTIF(F23:F82,"&gt;0")</f>
        <v>14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/>
      <c r="C14" s="118" t="n">
        <v>0.01</v>
      </c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12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/>
      <c r="C15" s="133" t="n">
        <v>3.07</v>
      </c>
      <c r="D15" s="110"/>
      <c r="E15" s="110"/>
      <c r="F15" s="111" t="n">
        <f aca="false">($B15*$B$7+$C15*$C$7)/100</f>
        <v>3.07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8</v>
      </c>
      <c r="L15" s="115"/>
      <c r="M15" s="134" t="s">
        <v>45</v>
      </c>
      <c r="N15" s="135" t="n">
        <f aca="false">COUNTIF(J23:J82,"=1")</f>
        <v>6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/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6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/>
      <c r="C17" s="118" t="n">
        <v>11.71</v>
      </c>
      <c r="D17" s="110"/>
      <c r="E17" s="110"/>
      <c r="F17" s="140"/>
      <c r="G17" s="111" t="n">
        <f aca="false">($B17*$B$7+$C17*$C$7)/100</f>
        <v>11.71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/>
      <c r="C18" s="143" t="n">
        <v>0.86</v>
      </c>
      <c r="D18" s="110"/>
      <c r="E18" s="144" t="s">
        <v>51</v>
      </c>
      <c r="F18" s="140"/>
      <c r="G18" s="111" t="n">
        <f aca="false">($B18*$B$7+$C18*$C$7)/100</f>
        <v>0.86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12.57</v>
      </c>
      <c r="G19" s="152" t="n">
        <f aca="false">SUM(G16:G18)</f>
        <v>12.57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</v>
      </c>
      <c r="C20" s="161" t="n">
        <f aca="false">SUM(C23:C82)</f>
        <v>12.57</v>
      </c>
      <c r="D20" s="162"/>
      <c r="E20" s="163" t="s">
        <v>51</v>
      </c>
      <c r="F20" s="164" t="n">
        <f aca="false">($B20*$B$7+$C20*$C$7)/100</f>
        <v>12.57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</v>
      </c>
      <c r="C21" s="173" t="n">
        <f aca="false">C20*C7/100</f>
        <v>12.57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12.57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/>
      <c r="C23" s="197" t="n">
        <v>2.2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Spirogyra sp.       </v>
      </c>
      <c r="E23" s="198" t="e">
        <f aca="false">IF(D23="",0,VLOOKUP(D23,D$22:D22,1,0))</f>
        <v>#N/A</v>
      </c>
      <c r="F23" s="199" t="n">
        <f aca="false">($B23*$B$7+$C23*$C$7)/100</f>
        <v>2.2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10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Spirogyra sp.       </v>
      </c>
      <c r="L23" s="205"/>
      <c r="M23" s="205"/>
      <c r="N23" s="205"/>
      <c r="O23" s="206"/>
      <c r="P23" s="207" t="n">
        <f aca="false">IF(ISTEXT(H23),"",(B23*$B$7/100)+(C23*$C$7/100))</f>
        <v>2.2</v>
      </c>
      <c r="Q23" s="208" t="n">
        <f aca="false">IF(OR(ISTEXT(H23),P23=0),"",IF(P23&lt;0.1,1,IF(P23&lt;1,2,IF(P23&lt;10,3,IF(P23&lt;50,4,IF(P23&gt;=50,5,""))))))</f>
        <v>3</v>
      </c>
      <c r="R23" s="208" t="n">
        <f aca="false">IF(ISERROR(Q23*I23),0,Q23*I23)</f>
        <v>30</v>
      </c>
      <c r="S23" s="208" t="n">
        <f aca="false">IF(ISERROR(Q23*I23*J23),0,Q23*I23*J23)</f>
        <v>30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SPI.SPX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70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/>
      <c r="C24" s="216" t="n">
        <v>6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6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6</v>
      </c>
      <c r="Q24" s="208" t="n">
        <f aca="false">IF(OR(ISTEXT(H24),P24=0),"",IF(P24&lt;0.1,1,IF(P24&lt;1,2,IF(P24&lt;10,3,IF(P24&lt;50,4,IF(P24&gt;=50,5,""))))))</f>
        <v>3</v>
      </c>
      <c r="R24" s="208" t="n">
        <f aca="false">IF(ISERROR(Q24*I24),0,Q24*I24)</f>
        <v>18</v>
      </c>
      <c r="S24" s="208" t="n">
        <f aca="false">IF(ISERROR(Q24*I24*J24),0,Q24*I24*J24)</f>
        <v>18</v>
      </c>
      <c r="T24" s="223" t="n">
        <f aca="false">IF(ISERROR(Q24*J24),0,Q24*J24)</f>
        <v>3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/>
      <c r="C25" s="216" t="n">
        <v>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Oedogonium sp.</v>
      </c>
      <c r="E25" s="217" t="e">
        <f aca="false">IF(D25="",0,VLOOKUP(D25,D$22:D24,1,0))</f>
        <v>#N/A</v>
      </c>
      <c r="F25" s="218" t="n">
        <f aca="false">($B25*$B$7+$C25*$C$7)/100</f>
        <v>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Oedogonium sp.</v>
      </c>
      <c r="L25" s="222"/>
      <c r="M25" s="222"/>
      <c r="N25" s="222"/>
      <c r="O25" s="206"/>
      <c r="P25" s="207" t="n">
        <f aca="false">IF(ISTEXT(H25),"",(B25*$B$7/100)+(C25*$C$7/100))</f>
        <v>1</v>
      </c>
      <c r="Q25" s="208" t="n">
        <f aca="false">IF(OR(ISTEXT(H25),P25=0),"",IF(P25&lt;0.1,1,IF(P25&lt;1,2,IF(P25&lt;10,3,IF(P25&lt;50,4,IF(P25&gt;=50,5,""))))))</f>
        <v>3</v>
      </c>
      <c r="R25" s="208" t="n">
        <f aca="false">IF(ISERROR(Q25*I25),0,Q25*I25)</f>
        <v>18</v>
      </c>
      <c r="S25" s="208" t="n">
        <f aca="false">IF(ISERROR(Q25*I25*J25),0,Q25*I25*J25)</f>
        <v>36</v>
      </c>
      <c r="T25" s="223" t="n">
        <f aca="false">IF(ISERROR(Q25*J25),0,Q25*J25)</f>
        <v>6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OED.SPX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56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/>
      <c r="C26" s="216" t="n">
        <v>0.28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Chara sp. </v>
      </c>
      <c r="E26" s="217" t="e">
        <f aca="false">IF(D26="",0,VLOOKUP(D26,D$22:D25,1,0))</f>
        <v>#N/A</v>
      </c>
      <c r="F26" s="218" t="n">
        <f aca="false">($B26*$B$7+$C26*$C$7)/100</f>
        <v>0.28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str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/>
      </c>
      <c r="J26" s="203" t="str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/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Chara sp. </v>
      </c>
      <c r="L26" s="222"/>
      <c r="M26" s="222"/>
      <c r="N26" s="222"/>
      <c r="O26" s="206"/>
      <c r="P26" s="207" t="n">
        <f aca="false">IF(ISTEXT(H26),"",(B26*$B$7/100)+(C26*$C$7/100))</f>
        <v>0.28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0</v>
      </c>
      <c r="S26" s="208" t="n">
        <f aca="false">IF(ISERROR(Q26*I26*J26),0,Q26*I26*J26)</f>
        <v>0</v>
      </c>
      <c r="T26" s="223" t="n">
        <f aca="false">IF(ISERROR(Q26*J26),0,Q26*J26)</f>
        <v>0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CHA.SPX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19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/>
      <c r="C27" s="216" t="n">
        <v>0.01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Fissidens crassipes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12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Fissidens crassipes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12</v>
      </c>
      <c r="S27" s="208" t="n">
        <f aca="false">IF(ISERROR(Q27*I27*J27),0,Q27*I27*J27)</f>
        <v>24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FIS.CRA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198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/>
      <c r="C28" s="216" t="n">
        <v>0.01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Phragmites australis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PHe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8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9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Phragmites australis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9</v>
      </c>
      <c r="S28" s="208" t="n">
        <f aca="false">IF(ISERROR(Q28*I28*J28),0,Q28*I28*J28)</f>
        <v>18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PHR.AUS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641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/>
      <c r="C29" s="216" t="n">
        <v>0.01</v>
      </c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Agrostis stolonifera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8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Agrostis stolonifera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AGR.STO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520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/>
      <c r="C30" s="216" t="n">
        <v>0.35</v>
      </c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Polygonum hydropiper (Persicaria hydropiper)</v>
      </c>
      <c r="E30" s="217" t="e">
        <f aca="false">IF(D30="",0,VLOOKUP(D30,D$22:D29,1,0))</f>
        <v>#N/A</v>
      </c>
      <c r="F30" s="218" t="n">
        <f aca="false">($B30*$B$7+$C30*$C$7)/100</f>
        <v>0.35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8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Polygonum hydropiper (Persicaria hydropiper)</v>
      </c>
      <c r="L30" s="222"/>
      <c r="M30" s="222"/>
      <c r="N30" s="222"/>
      <c r="O30" s="206"/>
      <c r="P30" s="207" t="n">
        <f aca="false">IF(ISTEXT(H30),"",(B30*$B$7/100)+(C30*$C$7/100))</f>
        <v>0.35</v>
      </c>
      <c r="Q30" s="208" t="n">
        <f aca="false">IF(OR(ISTEXT(H30),P30=0),"",IF(P30&lt;0.1,1,IF(P30&lt;1,2,IF(P30&lt;10,3,IF(P30&lt;50,4,IF(P30&gt;=50,5,""))))))</f>
        <v>2</v>
      </c>
      <c r="R30" s="208" t="n">
        <f aca="false">IF(ISERROR(Q30*I30),0,Q30*I30)</f>
        <v>16</v>
      </c>
      <c r="S30" s="208" t="n">
        <f aca="false">IF(ISERROR(Q30*I30*J30),0,Q30*I30*J30)</f>
        <v>32</v>
      </c>
      <c r="T30" s="223" t="n">
        <f aca="false">IF(ISERROR(Q30*J30),0,Q30*J30)</f>
        <v>4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POL.HYD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643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/>
      <c r="C31" s="216" t="n">
        <v>0.47</v>
      </c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Nasturtium officinale (Rorippa nasturtium-aquaticum)</v>
      </c>
      <c r="E31" s="217" t="e">
        <f aca="false">IF(D31="",0,VLOOKUP(D31,D$21:D30,1,0))</f>
        <v>#N/A</v>
      </c>
      <c r="F31" s="218" t="n">
        <f aca="false">($B31*$B$7+$C31*$C$7)/100</f>
        <v>0.47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11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Nasturtium officinale (Rorippa nasturtium-aquaticum)</v>
      </c>
      <c r="L31" s="222"/>
      <c r="M31" s="222"/>
      <c r="N31" s="222"/>
      <c r="O31" s="206"/>
      <c r="P31" s="207" t="n">
        <f aca="false">IF(ISTEXT(H31),"",(B31*$B$7/100)+(C31*$C$7/100))</f>
        <v>0.47</v>
      </c>
      <c r="Q31" s="208" t="n">
        <f aca="false">IF(OR(ISTEXT(H31),P31=0),"",IF(P31&lt;0.1,1,IF(P31&lt;1,2,IF(P31&lt;10,3,IF(P31&lt;50,4,IF(P31&gt;=50,5,""))))))</f>
        <v>2</v>
      </c>
      <c r="R31" s="208" t="n">
        <f aca="false">IF(ISERROR(Q31*I31),0,Q31*I31)</f>
        <v>22</v>
      </c>
      <c r="S31" s="208" t="n">
        <f aca="false">IF(ISERROR(Q31*I31*J31),0,Q31*I31*J31)</f>
        <v>22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NAS.OFF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634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/>
      <c r="C32" s="216" t="n">
        <v>0.01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Sparganium erectum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10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1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Sparganium erectum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10</v>
      </c>
      <c r="S32" s="208" t="n">
        <f aca="false">IF(ISERROR(Q32*I32*J32),0,Q32*I32*J32)</f>
        <v>10</v>
      </c>
      <c r="T32" s="223" t="n">
        <f aca="false">IF(ISERROR(Q32*J32),0,Q32*J32)</f>
        <v>1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SPA.ERE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675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15</v>
      </c>
      <c r="B33" s="215"/>
      <c r="C33" s="216" t="n">
        <v>1.9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Veronica anagallis-aquatica</v>
      </c>
      <c r="E33" s="217" t="e">
        <f aca="false">IF(D33="",0,VLOOKUP(D33,D$22:D32,1,0))</f>
        <v>#N/A</v>
      </c>
      <c r="F33" s="218" t="n">
        <f aca="false">($B33*$B$7+$C33*$C$7)/100</f>
        <v>1.9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11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2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Veronica anagallis-aquatica</v>
      </c>
      <c r="L33" s="225"/>
      <c r="M33" s="225"/>
      <c r="N33" s="225"/>
      <c r="O33" s="226"/>
      <c r="P33" s="207" t="n">
        <f aca="false">IF(ISTEXT(H33),"",(B33*$B$7/100)+(C33*$C$7/100))</f>
        <v>1.9</v>
      </c>
      <c r="Q33" s="208" t="n">
        <f aca="false">IF(OR(ISTEXT(H33),P33=0),"",IF(P33&lt;0.1,1,IF(P33&lt;1,2,IF(P33&lt;10,3,IF(P33&lt;50,4,IF(P33&gt;=50,5,""))))))</f>
        <v>3</v>
      </c>
      <c r="R33" s="208" t="n">
        <f aca="false">IF(ISERROR(Q33*I33),0,Q33*I33)</f>
        <v>33</v>
      </c>
      <c r="S33" s="208" t="n">
        <f aca="false">IF(ISERROR(Q33*I33*J33),0,Q33*I33*J33)</f>
        <v>66</v>
      </c>
      <c r="T33" s="223" t="n">
        <f aca="false">IF(ISERROR(Q33*J33),0,Q33*J33)</f>
        <v>6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VER.ANA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689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/>
      <c r="C34" s="216" t="n">
        <v>0.31</v>
      </c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Ludwigia peploides </v>
      </c>
      <c r="E34" s="217" t="e">
        <f aca="false">IF(D34="",0,VLOOKUP(D34,D$22:D33,1,0))</f>
        <v>#N/A</v>
      </c>
      <c r="F34" s="227" t="n">
        <f aca="false">($B34*$B$7+$C34*$C$7)/100</f>
        <v>0.31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Ludwigia peploides </v>
      </c>
      <c r="L34" s="225"/>
      <c r="M34" s="225"/>
      <c r="N34" s="225"/>
      <c r="O34" s="226"/>
      <c r="P34" s="207" t="n">
        <f aca="false">IF(ISTEXT(H34),"",(B34*$B$7/100)+(C34*$C$7/100))</f>
        <v>0.31</v>
      </c>
      <c r="Q34" s="208" t="n">
        <f aca="false">IF(OR(ISTEXT(H34),P34=0),"",IF(P34&lt;0.1,1,IF(P34&lt;1,2,IF(P34&lt;10,3,IF(P34&lt;50,4,IF(P34&gt;=50,5,""))))))</f>
        <v>2</v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LUD.PEP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600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/>
      <c r="C35" s="216" t="n">
        <v>0.01</v>
      </c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Groenlandia densa (Potamogeton densus)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PHy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7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11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2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Groenlandia densa (Potamogeton densus)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11</v>
      </c>
      <c r="S35" s="208" t="n">
        <f aca="false">IF(ISERROR(Q35*I35*J35),0,Q35*I35*J35)</f>
        <v>22</v>
      </c>
      <c r="T35" s="223" t="n">
        <f aca="false">IF(ISERROR(Q35*J35),0,Q35*J35)</f>
        <v>2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GRO.DEN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348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/>
      <c r="C36" s="216" t="n">
        <v>0.01</v>
      </c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Equisetum palustre</v>
      </c>
      <c r="E36" s="217" t="e">
        <f aca="false">IF(D36="",0,VLOOKUP(D36,D$22:D35,1,0))</f>
        <v>#N/A</v>
      </c>
      <c r="F36" s="227" t="n">
        <f aca="false">($B36*$B$7+$C36*$C$7)/100</f>
        <v>0.01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PTE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6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10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1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Equisetum palustre</v>
      </c>
      <c r="L36" s="222"/>
      <c r="M36" s="222"/>
      <c r="N36" s="222"/>
      <c r="O36" s="206"/>
      <c r="P36" s="207" t="n">
        <f aca="false">IF(ISTEXT(H36),"",(B36*$B$7/100)+(C36*$C$7/100))</f>
        <v>0.01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10</v>
      </c>
      <c r="S36" s="208" t="n">
        <f aca="false">IF(ISERROR(Q36*I36*J36),0,Q36*I36*J36)</f>
        <v>10</v>
      </c>
      <c r="T36" s="223" t="n">
        <f aca="false">IF(ISERROR(Q36*J36),0,Q36*J36)</f>
        <v>1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EQU.PAL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282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86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Coulon</v>
      </c>
      <c r="B84" s="247" t="str">
        <f aca="false">C3</f>
        <v>Oppede</v>
      </c>
      <c r="C84" s="248" t="n">
        <f aca="false">A4</f>
        <v>40016</v>
      </c>
      <c r="D84" s="249" t="n">
        <f aca="false">IF(ISERROR(SUM($S$23:$S$82)/SUM($T$23:$T$82)),"",SUM($S$23:$S$82)/SUM($T$23:$T$82))</f>
        <v>9.03030303030303</v>
      </c>
      <c r="E84" s="250" t="n">
        <f aca="false">N13</f>
        <v>14</v>
      </c>
      <c r="F84" s="247" t="n">
        <f aca="false">N14</f>
        <v>12</v>
      </c>
      <c r="G84" s="247" t="n">
        <f aca="false">N15</f>
        <v>6</v>
      </c>
      <c r="H84" s="247" t="n">
        <f aca="false">N16</f>
        <v>6</v>
      </c>
      <c r="I84" s="247" t="n">
        <f aca="false">N17</f>
        <v>0</v>
      </c>
      <c r="J84" s="251" t="n">
        <f aca="false">N8</f>
        <v>9.5</v>
      </c>
      <c r="K84" s="249" t="n">
        <f aca="false">N9</f>
        <v>1.93061459832685</v>
      </c>
      <c r="L84" s="250" t="n">
        <f aca="false">N10</f>
        <v>6</v>
      </c>
      <c r="M84" s="250" t="n">
        <f aca="false">N11</f>
        <v>12</v>
      </c>
      <c r="N84" s="249" t="n">
        <f aca="false">O8</f>
        <v>1.5</v>
      </c>
      <c r="O84" s="249" t="n">
        <f aca="false">O9</f>
        <v>0.522232967867094</v>
      </c>
      <c r="P84" s="250" t="n">
        <f aca="false">O10</f>
        <v>1</v>
      </c>
      <c r="Q84" s="250" t="n">
        <f aca="false">O11</f>
        <v>2</v>
      </c>
      <c r="R84" s="252" t="n">
        <f aca="false">F21</f>
        <v>12.57</v>
      </c>
      <c r="S84" s="250" t="n">
        <f aca="false">K11</f>
        <v>0</v>
      </c>
      <c r="T84" s="250" t="n">
        <f aca="false">K12</f>
        <v>4</v>
      </c>
      <c r="U84" s="250" t="n">
        <f aca="false">K13</f>
        <v>1</v>
      </c>
      <c r="V84" s="253" t="n">
        <f aca="false">K14</f>
        <v>1</v>
      </c>
      <c r="W84" s="254" t="n">
        <f aca="false">K15</f>
        <v>8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87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88</v>
      </c>
      <c r="Q87" s="9"/>
      <c r="R87" s="209" t="n">
        <f aca="false">VLOOKUP(MAX($R$23:$R$82),($R$23:$T$82),1,0)</f>
        <v>33</v>
      </c>
      <c r="S87" s="9"/>
      <c r="T87" s="9"/>
      <c r="U87" s="9"/>
    </row>
    <row r="88" customFormat="false" ht="12.75" hidden="true" customHeight="false" outlineLevel="0" collapsed="false">
      <c r="P88" s="9" t="s">
        <v>89</v>
      </c>
      <c r="Q88" s="9"/>
      <c r="R88" s="209" t="n">
        <f aca="false">VLOOKUP((R87),($R$23:$T$82),2,0)</f>
        <v>66</v>
      </c>
      <c r="S88" s="9"/>
      <c r="T88" s="9"/>
      <c r="U88" s="9"/>
    </row>
    <row r="89" customFormat="false" ht="12.75" hidden="true" customHeight="false" outlineLevel="0" collapsed="false">
      <c r="P89" s="9" t="s">
        <v>90</v>
      </c>
      <c r="Q89" s="9"/>
      <c r="R89" s="209" t="n">
        <f aca="false">VLOOKUP((R87),($R$23:$T$82),3,0)</f>
        <v>6</v>
      </c>
      <c r="S89" s="9"/>
    </row>
    <row r="90" customFormat="false" ht="12.75" hidden="true" customHeight="false" outlineLevel="0" collapsed="false">
      <c r="P90" s="9" t="s">
        <v>91</v>
      </c>
      <c r="Q90" s="9"/>
      <c r="R90" s="257" t="n">
        <f aca="false">IF(ISERROR(SUM($S$23:$S$82)/SUM($T$23:$T$82)),"",(SUM($S$23:$S$82)-R88)/(SUM($T$23:$T$82)-R89))</f>
        <v>8.59259259259259</v>
      </c>
      <c r="S90" s="9"/>
    </row>
    <row r="91" customFormat="false" ht="12.75" hidden="true" customHeight="false" outlineLevel="0" collapsed="false">
      <c r="P91" s="208" t="s">
        <v>92</v>
      </c>
      <c r="Q91" s="208"/>
      <c r="R91" s="208" t="str">
        <f aca="false">INDEX('[1]liste reference'!$A$7:$A$906,$S$91)</f>
        <v>VER.ANA</v>
      </c>
      <c r="S91" s="9" t="n">
        <f aca="false">IF(ISERROR(MATCH($R$93,'[1]liste reference'!$A$7:$A$906,0)),MATCH($R$93,'[1]liste reference'!$B$7:$B$906,0),(MATCH($R$93,'[1]liste reference'!$A$7:$A$906,0)))</f>
        <v>689</v>
      </c>
      <c r="T91" s="245"/>
    </row>
    <row r="92" customFormat="false" ht="12.75" hidden="true" customHeight="false" outlineLevel="0" collapsed="false">
      <c r="P92" s="9" t="s">
        <v>93</v>
      </c>
      <c r="Q92" s="9"/>
      <c r="R92" s="9" t="n">
        <f aca="false">MATCH(R87,$R$23:$R$82,0)</f>
        <v>11</v>
      </c>
      <c r="S92" s="9"/>
    </row>
    <row r="93" customFormat="false" ht="12.75" hidden="true" customHeight="false" outlineLevel="0" collapsed="false">
      <c r="P93" s="208" t="s">
        <v>94</v>
      </c>
      <c r="Q93" s="9"/>
      <c r="R93" s="208" t="str">
        <f aca="false">INDEX($A$23:$A$82,$R$92)</f>
        <v>VER.ANA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2013-10-22T15:34:48Z</dcterms:created>
  <dc:creator>elise.carnet</dc:creator>
  <dc:description/>
  <dc:language>fr-FR</dc:language>
  <cp:lastModifiedBy>elise.carnet</cp:lastModifiedBy>
  <dcterms:modified xsi:type="dcterms:W3CDTF">2013-10-22T15:35:01Z</dcterms:modified>
  <cp:revision>0</cp:revision>
  <dc:subject/>
  <dc:title/>
</cp:coreProperties>
</file>