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68000" sheetId="6" state="visible" r:id="rId8"/>
    <sheet name="jgjg" sheetId="7" state="hidden" r:id="rId9"/>
    <sheet name="liste codes réf" sheetId="8" state="hidden" r:id="rId10"/>
  </sheets>
  <definedNames>
    <definedName function="false" hidden="false" localSheetId="5" name="_xlnm.Print_Area" vbProcedure="false">'06168000'!$A$1:$Q$82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'06168000'!$A$1:$Q$82</definedName>
    <definedName function="false" hidden="false" localSheetId="5" name="_xlnm__FilterDatabase" vbProcedure="false">'06168000'!$A$1:$C$1415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<sst xmlns="http://schemas.openxmlformats.org/spreadsheetml/2006/main" count="8848" uniqueCount="3496">
  <si>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</si>
  <si>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</si>
  <si>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</si>
  <si>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</si>
  <si>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</si>
  <si>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</si>
  <si>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</si>
  <si>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</si>
  <si>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</si>
  <si>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</si>
  <si>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</si>
  <si>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</si>
  <si>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</si>
  <si>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</si>
  <si>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</si>
  <si>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</si>
  <si>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</si>
  <si>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</si>
  <si>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</si>
  <si>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</si>
  <si>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</si>
  <si>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</si>
  <si>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</si>
  <si>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</si>
  <si>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</si>
  <si>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</si>
  <si>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</si>
  <si>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</si>
  <si>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</si>
  <si>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</si>
  <si>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</si>
  <si>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</si>
  <si>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</si>
  <si>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</si>
  <si>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</si>
  <si>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</si>
  <si>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</si>
  <si>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</si>
  <si>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</si>
  <si>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</si>
  <si>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</si>
  <si>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</si>
  <si>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</si>
  <si>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</si>
  <si>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</si>
  <si>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</si>
  <si>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</si>
  <si>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</si>
  <si>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</si>
  <si>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</si>
  <si>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</si>
  <si>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</si>
  <si>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</si>
  <si>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</si>
  <si>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</si>
  <si>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</si>
  <si>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</si>
  <si>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</si>
  <si>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</si>
  <si>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</si>
  <si>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</si>
  <si>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</si>
  <si>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</si>
  <si>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</si>
  <si>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</si>
  <si>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</si>
  <si>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</si>
  <si>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</si>
  <si>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</si>
  <si>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</si>
  <si>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</si>
  <si>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</si>
  <si>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</si>
  <si>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</si>
  <si>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</si>
  <si>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</si>
  <si>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</si>
  <si>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</si>
  <si>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</si>
  <si>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</si>
  <si>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</si>
  <si>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</si>
  <si>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</si>
  <si>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</si>
  <si>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</si>
  <si>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</si>
  <si>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</si>
  <si>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</si>
  <si>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</si>
  <si>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</si>
  <si>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</si>
  <si>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</si>
  <si>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</si>
  <si>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</si>
  <si>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</si>
  <si>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</si>
  <si>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</si>
  <si>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</si>
  <si>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</si>
  <si>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</si>
  <si>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</si>
  <si>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</si>
  <si>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</si>
  <si>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</si>
  <si>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</si>
  <si>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</si>
  <si>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</si>
  <si>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</si>
  <si>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</si>
  <si>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</si>
  <si>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</si>
  <si>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</si>
  <si>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</si>
  <si>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</si>
  <si>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</si>
  <si>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</si>
  <si>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</si>
  <si>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</si>
  <si>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</si>
  <si>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</si>
  <si>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</si>
  <si>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</si>
  <si>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</si>
  <si>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</si>
  <si>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</si>
  <si>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</si>
  <si>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</si>
  <si>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</si>
  <si>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</si>
  <si>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</si>
  <si>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</si>
  <si>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</si>
  <si>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</si>
  <si>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</si>
  <si>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</si>
  <si>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</si>
  <si>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</si>
  <si>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</si>
  <si>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</si>
  <si>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</si>
  <si>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</si>
  <si>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</si>
  <si>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</si>
  <si>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</si>
  <si>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</si>
  <si>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</si>
  <si>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</si>
  <si>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</si>
  <si>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</si>
  <si>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</si>
  <si>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</si>
  <si>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</si>
  <si>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</si>
  <si>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</si>
  <si>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</si>
  <si>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</si>
  <si>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</si>
  <si>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</si>
  <si>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</si>
  <si>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</si>
  <si>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</si>
  <si>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</si>
  <si>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</si>
  <si>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</si>
  <si>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</si>
  <si>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</si>
  <si>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</si>
  <si>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</si>
  <si>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</si>
  <si>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</si>
  <si>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</si>
  <si>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</si>
  <si>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</si>
  <si>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</si>
  <si>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</si>
  <si>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</si>
  <si>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</si>
  <si>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</si>
  <si>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</si>
  <si>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</si>
  <si>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</si>
  <si>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</si>
  <si>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</si>
  <si>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</si>
  <si>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</si>
  <si>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</si>
  <si>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</si>
  <si>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</si>
  <si>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</si>
  <si>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</si>
  <si>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</si>
  <si>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</si>
  <si>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</si>
  <si>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</si>
  <si>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</si>
  <si>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</si>
  <si>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</si>
  <si>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</si>
  <si>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</si>
  <si>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</si>
  <si>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</si>
  <si>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</si>
  <si>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</si>
  <si>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</si>
  <si>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</si>
  <si>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</si>
  <si>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</si>
  <si>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</si>
  <si>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</si>
  <si>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</si>
  <si>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</si>
  <si>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</si>
  <si>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</si>
  <si>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</si>
  <si>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</si>
  <si>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</si>
  <si>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</si>
  <si>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</si>
  <si>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</si>
  <si>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</si>
  <si>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</si>
  <si>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</si>
  <si>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</si>
  <si>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</si>
  <si>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</si>
  <si>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</si>
  <si>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</si>
  <si>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</si>
  <si>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</si>
  <si>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</si>
  <si>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</si>
  <si>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</si>
  <si>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</si>
  <si>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</si>
  <si>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</si>
  <si>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</si>
  <si>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</si>
  <si>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</si>
  <si>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</si>
  <si>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</si>
  <si>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</si>
  <si>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</si>
  <si>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</si>
  <si>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</si>
  <si>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</si>
  <si>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</si>
  <si>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</si>
  <si>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</si>
  <si>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</si>
  <si>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</si>
  <si>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</si>
  <si>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</si>
  <si>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</si>
  <si>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</si>
  <si>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</si>
  <si>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</si>
  <si>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</si>
  <si>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</si>
  <si>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</si>
  <si>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</si>
  <si>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</si>
  <si>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</si>
  <si>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</si>
  <si>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</si>
  <si>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</si>
  <si>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</si>
  <si>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</si>
  <si>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</si>
  <si>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</si>
  <si>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</si>
  <si>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</si>
  <si>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</si>
  <si>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</si>
  <si>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</si>
  <si>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</si>
  <si>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</si>
  <si>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</si>
  <si>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</si>
  <si>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</si>
  <si>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</si>
  <si>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</si>
  <si>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</si>
  <si>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</si>
  <si>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</si>
  <si>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</si>
  <si>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</si>
  <si>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</si>
  <si>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</si>
  <si>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</si>
  <si>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</si>
  <si>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</si>
  <si>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</si>
  <si>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</si>
  <si>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</si>
  <si>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</si>
  <si>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</si>
  <si>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</si>
  <si>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</si>
  <si>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</si>
  <si>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</si>
  <si>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</si>
  <si>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</si>
  <si>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</si>
  <si>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</si>
  <si>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</si>
  <si>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</si>
  <si>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</si>
  <si>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</si>
  <si>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</si>
  <si>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</si>
  <si>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</si>
  <si>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</si>
  <si>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</si>
  <si>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</si>
  <si>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</si>
  <si>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</si>
  <si>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</si>
  <si>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</si>
  <si>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</si>
  <si>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</si>
  <si>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</si>
  <si>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</si>
  <si>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</si>
  <si>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</si>
  <si>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</si>
  <si>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</si>
  <si>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</si>
  <si>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</si>
  <si>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</si>
  <si>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</si>
  <si>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</si>
  <si>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</si>
  <si>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</si>
  <si>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</si>
  <si>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</si>
  <si>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</si>
  <si>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</si>
  <si>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</si>
  <si>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</si>
  <si>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</si>
  <si>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</si>
  <si>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</si>
  <si>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</si>
  <si>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</si>
  <si>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</si>
  <si>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</si>
  <si>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</si>
  <si>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</si>
  <si>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</si>
  <si>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</si>
  <si>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</si>
  <si>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</si>
  <si>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</si>
  <si>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</si>
  <si>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</si>
  <si>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</si>
  <si>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</si>
  <si>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</si>
  <si>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</si>
  <si>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</si>
  <si>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</si>
  <si>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</si>
  <si>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</si>
  <si>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</si>
  <si>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</si>
  <si>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</si>
  <si>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</si>
  <si>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</si>
  <si>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</si>
  <si>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</si>
  <si>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</si>
  <si>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</si>
  <si>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</si>
  <si>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</si>
  <si>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</si>
  <si>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</si>
  <si>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</si>
  <si>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</si>
  <si>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</si>
  <si>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</si>
  <si>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</si>
  <si>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</si>
  <si>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</si>
  <si>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</si>
  <si>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</si>
  <si>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</si>
  <si>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</si>
  <si>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</si>
  <si>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</si>
  <si>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</si>
  <si>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</si>
  <si>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</si>
  <si>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</si>
  <si>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</si>
  <si>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</si>
  <si>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</si>
  <si>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</si>
  <si>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</si>
  <si>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</si>
  <si>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</si>
  <si>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</si>
  <si>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</si>
  <si>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</si>
  <si>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</si>
  <si>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</si>
  <si>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</si>
  <si>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</si>
  <si>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</si>
  <si>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</si>
  <si>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</si>
  <si>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</si>
  <si>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</si>
  <si>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</si>
  <si>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</si>
  <si>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</si>
  <si>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</si>
  <si>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</si>
  <si>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</si>
  <si>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</si>
  <si>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</si>
  <si>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</si>
  <si>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</si>
  <si>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</si>
  <si>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</si>
  <si>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</si>
  <si>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</si>
  <si>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</si>
  <si>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</si>
  <si>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</si>
  <si>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</si>
  <si>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</si>
  <si>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</si>
  <si>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</si>
  <si>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</si>
  <si>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</si>
  <si>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</si>
  <si>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</si>
  <si>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</si>
  <si>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</si>
  <si>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</si>
  <si>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</si>
  <si>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</si>
  <si>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</si>
  <si>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</si>
  <si>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</si>
  <si>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</si>
  <si>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</si>
  <si>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</si>
  <si>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</si>
  <si>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</si>
  <si>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</si>
  <si>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</si>
  <si>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</si>
  <si>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</si>
  <si>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</si>
  <si>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</si>
  <si>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</si>
  <si>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</si>
  <si>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</si>
  <si>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</si>
  <si>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</si>
  <si>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</si>
  <si>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</si>
  <si>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</si>
  <si>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</si>
  <si>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</si>
  <si>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</si>
  <si>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</si>
  <si>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</si>
  <si>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</si>
  <si>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</si>
  <si>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</si>
  <si>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</si>
  <si>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</si>
  <si>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</si>
  <si>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</si>
  <si>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</si>
  <si>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</si>
  <si>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</si>
  <si>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</si>
  <si>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</si>
  <si>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</si>
  <si>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</si>
  <si>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</si>
  <si>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</si>
  <si>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</si>
  <si>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</si>
  <si>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</si>
  <si>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</si>
  <si>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</si>
  <si>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</si>
  <si>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</si>
  <si>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</si>
  <si>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</si>
  <si>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</si>
  <si>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</si>
  <si>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</si>
  <si>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</si>
  <si>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</si>
  <si>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</si>
  <si>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</si>
  <si>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</si>
  <si>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</si>
  <si>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</si>
  <si>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</si>
  <si>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</si>
  <si>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</si>
  <si>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</si>
  <si>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</si>
  <si>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</si>
  <si>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</si>
  <si>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</si>
  <si>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</si>
  <si>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</si>
  <si>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</si>
  <si>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</si>
  <si>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</si>
  <si>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</si>
  <si>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</si>
  <si>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</si>
  <si>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</si>
  <si>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</si>
  <si>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</si>
  <si>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</si>
  <si>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</si>
  <si>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</si>
  <si>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</si>
  <si>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</si>
  <si>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</si>
  <si>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</si>
  <si>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</si>
  <si>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</si>
  <si>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</si>
  <si>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</si>
  <si>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</si>
  <si>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</si>
  <si>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</si>
  <si>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</si>
  <si>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</si>
  <si>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</si>
  <si>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</si>
  <si>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</si>
  <si>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</si>
  <si>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</si>
  <si>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</si>
  <si>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</si>
  <si>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</si>
  <si>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</si>
  <si>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</si>
  <si>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</si>
  <si>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</si>
  <si>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</si>
  <si>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</si>
  <si>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</si>
  <si>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</si>
  <si>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</si>
  <si>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</si>
  <si>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</si>
  <si>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</si>
  <si>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</si>
  <si>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</si>
  <si>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</si>
  <si>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</si>
  <si>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</si>
  <si>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</si>
  <si>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</si>
  <si>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</si>
  <si>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</si>
  <si>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</si>
  <si>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</si>
  <si>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</si>
  <si>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</si>
  <si>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</si>
  <si>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</si>
  <si>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</si>
  <si>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</si>
  <si>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</si>
  <si>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</si>
  <si>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</si>
  <si>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</si>
  <si>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</si>
  <si>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</si>
  <si>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</si>
  <si>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</si>
  <si>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</si>
  <si>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</si>
  <si>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</si>
  <si>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</si>
  <si>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</si>
  <si>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</si>
  <si>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</si>
  <si>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</si>
  <si>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</si>
  <si>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</si>
  <si>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</si>
  <si>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</si>
  <si>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</si>
  <si>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</si>
  <si>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</si>
  <si>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</si>
  <si>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</si>
  <si>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</si>
  <si>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</si>
  <si>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</si>
  <si>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</si>
  <si>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</si>
  <si>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</si>
  <si>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</si>
  <si>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</si>
  <si>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</si>
  <si>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</si>
  <si>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</si>
  <si>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</si>
  <si>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</si>
  <si>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</si>
  <si>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</si>
  <si>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</si>
  <si>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</si>
  <si>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</si>
  <si>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</si>
  <si>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</si>
  <si>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</si>
  <si>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</si>
  <si>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</si>
  <si>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</si>
  <si>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</si>
  <si>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</si>
  <si>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</si>
  <si>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</si>
  <si>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</si>
  <si>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</si>
  <si>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</si>
  <si>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</si>
  <si>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</si>
  <si>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</si>
  <si>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</si>
  <si>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</si>
  <si>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</si>
  <si>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</si>
  <si>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</si>
  <si>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</si>
  <si>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</si>
  <si>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</si>
  <si>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</si>
  <si>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</si>
  <si>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</si>
  <si>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</si>
  <si>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</si>
  <si>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</si>
  <si>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</si>
  <si>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</si>
  <si>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</si>
  <si>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</si>
  <si>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</si>
  <si>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</si>
  <si>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</si>
  <si>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</si>
  <si>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</si>
  <si>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</si>
  <si>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</si>
  <si>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</si>
  <si>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</si>
  <si>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</si>
  <si>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</si>
  <si>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</si>
  <si>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</si>
  <si>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</si>
  <si>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</si>
  <si>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</si>
  <si>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</si>
  <si>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</si>
  <si>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</si>
  <si>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</si>
  <si>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</si>
  <si>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</si>
  <si>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</si>
  <si>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</si>
  <si>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</si>
  <si>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</si>
  <si>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</si>
  <si>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</si>
  <si>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</si>
  <si>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</si>
  <si>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</si>
  <si>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</si>
  <si>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</si>
  <si>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</si>
  <si>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</si>
  <si>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</si>
  <si>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</si>
  <si>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</si>
  <si>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</si>
  <si>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</si>
  <si>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</si>
  <si>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</si>
  <si>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</si>
  <si>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</si>
  <si>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</si>
  <si>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</si>
  <si>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</si>
  <si>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</si>
  <si>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</si>
  <si>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</si>
  <si>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</si>
  <si>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</si>
  <si>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</si>
  <si>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</si>
  <si>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</si>
  <si>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</si>
  <si>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</si>
  <si>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</si>
  <si>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</si>
  <si>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</si>
  <si>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</si>
  <si>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</si>
  <si>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</si>
  <si>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</si>
  <si>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</si>
  <si>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</si>
  <si>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</si>
  <si>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</si>
  <si>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</si>
  <si>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</si>
  <si>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</si>
  <si>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</si>
  <si>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</si>
  <si>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</si>
  <si>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</si>
  <si>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</si>
  <si>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</si>
  <si>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</si>
  <si>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</si>
  <si>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</si>
  <si>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</si>
  <si>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</si>
  <si>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</si>
  <si>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</si>
  <si>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</si>
  <si>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</si>
  <si>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</si>
  <si>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</si>
  <si>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</si>
  <si>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</si>
  <si>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</si>
  <si>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</si>
  <si>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</si>
  <si>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</si>
  <si>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</si>
  <si>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</si>
  <si>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</si>
  <si>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</si>
  <si>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</si>
  <si>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</si>
  <si>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</si>
  <si>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</si>
  <si>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</si>
  <si>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</si>
  <si>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</si>
  <si>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</si>
  <si>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</si>
  <si>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</si>
  <si>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</si>
  <si>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</si>
  <si>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</si>
  <si>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</si>
  <si>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</si>
  <si>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</si>
  <si>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</si>
  <si>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</si>
  <si>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</si>
  <si>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</si>
  <si>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</si>
  <si>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</si>
  <si>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</si>
  <si>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</si>
  <si>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</si>
  <si>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</si>
  <si>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</si>
  <si>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</si>
  <si>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</si>
  <si>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</si>
  <si>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</si>
  <si>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</si>
  <si>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</si>
  <si>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</si>
  <si>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</si>
  <si>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</si>
  <si>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</si>
  <si>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</si>
  <si>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</si>
  <si>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</si>
  <si>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</si>
  <si>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</si>
  <si>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</si>
  <si>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</si>
  <si>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</si>
  <si>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</si>
  <si>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</si>
  <si>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</si>
  <si>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</si>
  <si>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</si>
  <si>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</si>
  <si>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</si>
  <si>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</si>
  <si>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</si>
  <si>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</si>
  <si>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</si>
  <si>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</si>
  <si>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</si>
  <si>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</si>
  <si>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</si>
  <si>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</si>
  <si>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</si>
  <si>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</si>
  <si>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</si>
  <si>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</si>
  <si>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</si>
  <si>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</si>
  <si>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</si>
  <si>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</si>
  <si>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</si>
  <si>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</si>
  <si>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</si>
  <si>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</si>
  <si>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</si>
  <si>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</si>
  <si>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</si>
  <si>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</si>
  <si>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</si>
  <si>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</si>
  <si>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</si>
  <si>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</si>
  <si>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</si>
  <si>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</si>
  <si>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</si>
  <si>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</si>
  <si>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</si>
  <si>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</si>
  <si>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</si>
  <si>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</si>
  <si>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</si>
  <si>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</si>
  <si>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</si>
  <si>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</si>
  <si>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</si>
  <si>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</si>
  <si>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</si>
  <si>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</si>
  <si>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</si>
  <si>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</si>
  <si>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</si>
  <si>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</si>
  <si>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</si>
  <si>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</si>
  <si>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</si>
  <si>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</si>
  <si>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</si>
  <si>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</si>
  <si>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</si>
  <si>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</si>
  <si>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</si>
  <si>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</si>
  <si>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</si>
  <si>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</si>
  <si>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</si>
  <si>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</si>
  <si>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</si>
  <si>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</si>
  <si>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</si>
  <si>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</si>
  <si>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</si>
  <si>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</si>
  <si>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</si>
  <si>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</si>
  <si>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</si>
  <si>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</si>
  <si>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</si>
  <si>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</si>
  <si>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</si>
  <si>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</si>
  <si>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</si>
  <si>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</si>
  <si>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</si>
  <si>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</si>
  <si>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</si>
  <si>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</si>
  <si>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</si>
  <si>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</si>
  <si>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</si>
  <si>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</si>
  <si>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</si>
  <si>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</si>
  <si>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</si>
  <si>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</si>
  <si>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</si>
  <si>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</si>
  <si>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</si>
  <si>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</si>
  <si>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</si>
  <si>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</si>
  <si>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</si>
  <si>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</si>
  <si>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</si>
  <si>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</si>
  <si>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</si>
  <si>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</si>
  <si>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</si>
  <si>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</si>
  <si>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</si>
  <si>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</si>
  <si>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</si>
  <si>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</si>
  <si>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</si>
  <si>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</si>
  <si>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</si>
  <si>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</si>
  <si>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</si>
  <si>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</si>
  <si>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</si>
  <si>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</si>
  <si>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</si>
  <si>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</si>
  <si>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</si>
  <si>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</si>
  <si>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</si>
  <si>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</si>
  <si>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</si>
  <si>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</si>
  <si>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</si>
  <si>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</si>
  <si>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</si>
  <si>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</si>
  <si>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</si>
  <si>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</si>
  <si>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</si>
  <si>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</si>
  <si>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</si>
  <si>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</si>
  <si>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</si>
  <si>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</si>
  <si>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</si>
  <si>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</si>
  <si>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</si>
  <si>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</si>
  <si>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</si>
  <si>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</si>
  <si>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</si>
  <si>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</si>
  <si>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</si>
  <si>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</si>
  <si>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</si>
  <si>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</si>
  <si>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</si>
  <si>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</si>
  <si>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</si>
  <si>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</si>
  <si>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</si>
  <si>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</si>
  <si>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</si>
  <si>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</si>
  <si>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</si>
  <si>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</si>
  <si>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</si>
  <si>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</si>
  <si>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</si>
  <si>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</si>
  <si>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</si>
  <si>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</si>
  <si>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</si>
  <si>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</si>
  <si>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</si>
  <si>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</si>
  <si>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</si>
  <si>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</si>
  <si>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</si>
  <si>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</si>
  <si>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</si>
  <si>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</si>
  <si>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</si>
  <si>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</si>
  <si>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</si>
  <si>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</si>
  <si>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</si>
  <si>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</si>
  <si>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</si>
  <si>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</si>
  <si>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</si>
  <si>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</si>
  <si>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</si>
  <si>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</si>
  <si>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</si>
  <si>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</si>
  <si>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</si>
  <si>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</si>
  <si>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</si>
  <si>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</si>
  <si>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</si>
  <si>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</si>
  <si>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</si>
  <si>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</si>
  <si>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</si>
  <si>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</si>
  <si>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</si>
  <si>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</si>
  <si>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</si>
  <si>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</si>
  <si>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</si>
  <si>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</si>
  <si>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</si>
  <si>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</si>
  <si>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</si>
  <si>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</si>
  <si>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</si>
  <si>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</si>
  <si>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</si>
  <si>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</si>
  <si>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</si>
  <si>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</si>
  <si>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</si>
  <si>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</si>
  <si>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</si>
  <si>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</si>
  <si>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</si>
  <si>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</si>
  <si>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</si>
  <si>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</si>
  <si>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</si>
  <si>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</si>
  <si>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</si>
  <si>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</si>
  <si>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</si>
  <si>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</si>
  <si>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</si>
  <si>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</si>
  <si>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</si>
  <si>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</si>
  <si>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</si>
  <si>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</si>
  <si>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</si>
  <si>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</si>
  <si>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</si>
  <si>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</si>
  <si>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</si>
  <si>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</si>
  <si>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</si>
  <si>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</si>
  <si>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</si>
  <si>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</si>
  <si>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</si>
  <si>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</si>
  <si>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</si>
  <si>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</si>
  <si>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</si>
  <si>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</si>
  <si>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</si>
  <si>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</si>
  <si>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</si>
  <si>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</si>
  <si>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</si>
  <si>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</si>
  <si>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</si>
  <si>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</si>
  <si>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</si>
  <si>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</si>
  <si>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</si>
  <si>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</si>
  <si>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</si>
  <si>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</si>
  <si>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</si>
  <si>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</si>
  <si>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</si>
  <si>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</si>
  <si>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</si>
  <si>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</si>
  <si>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</si>
  <si>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</si>
  <si>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</si>
  <si>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</si>
  <si>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</si>
  <si>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</si>
  <si>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</si>
  <si>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</si>
  <si>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</si>
  <si>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</si>
  <si>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</si>
  <si>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</si>
  <si>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</si>
  <si>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</si>
  <si>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</si>
  <si>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</si>
  <si>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</si>
  <si>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</si>
  <si>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</si>
  <si>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</si>
  <si>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</si>
  <si>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</si>
  <si>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</si>
  <si>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</si>
  <si>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</si>
  <si>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</si>
  <si>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</si>
  <si>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</si>
  <si>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</si>
  <si>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</si>
  <si>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</si>
  <si>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</si>
  <si>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</si>
  <si>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</si>
  <si>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</si>
  <si>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</si>
  <si>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</si>
  <si>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</si>
  <si>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</si>
  <si>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</si>
  <si>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</si>
  <si>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</si>
  <si>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</si>
  <si>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</si>
  <si>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</si>
  <si>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</si>
  <si>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</si>
  <si>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</si>
  <si>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</si>
  <si>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</si>
  <si>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</si>
  <si>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</si>
  <si>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</si>
  <si>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</si>
  <si>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</si>
  <si>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</si>
  <si>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</si>
  <si>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</si>
  <si>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</si>
  <si>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</si>
  <si>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</si>
  <si>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</si>
  <si>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</si>
  <si>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</si>
  <si>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</si>
  <si>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</si>
  <si>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</si>
  <si>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</si>
  <si>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</si>
  <si>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</si>
  <si>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</si>
  <si>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</si>
  <si>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</si>
  <si>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</si>
  <si>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</si>
  <si>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</si>
  <si>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</si>
  <si>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</si>
  <si>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</si>
  <si>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</si>
  <si>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</si>
  <si>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</si>
  <si>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</si>
  <si>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</si>
  <si>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</si>
  <si>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</si>
  <si>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</si>
  <si>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</si>
  <si>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</si>
  <si>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</si>
  <si>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</si>
  <si>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</si>
  <si>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</si>
  <si>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</si>
  <si>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</si>
  <si>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</si>
  <si>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</si>
  <si>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</si>
  <si>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</si>
  <si>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</si>
  <si>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</si>
  <si>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</si>
  <si>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</si>
  <si>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</si>
  <si>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</si>
  <si>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</si>
  <si>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</si>
  <si>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</si>
  <si>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</si>
  <si>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</si>
  <si>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</si>
  <si>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</si>
  <si>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</si>
  <si>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</si>
  <si>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</si>
  <si>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</si>
  <si>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</si>
  <si>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</si>
  <si>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</si>
  <si>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</si>
  <si>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</si>
  <si>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</si>
  <si>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</si>
  <si>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</si>
  <si>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</si>
  <si>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</si>
  <si>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</si>
  <si>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</si>
  <si>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</si>
  <si>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</si>
  <si>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</si>
  <si>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</si>
  <si>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</si>
  <si>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</si>
  <si>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</si>
  <si>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</si>
  <si>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</si>
  <si>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</si>
  <si>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</si>
  <si>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</si>
  <si>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</si>
  <si>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</si>
  <si>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</si>
  <si>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</si>
  <si>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</si>
  <si>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</si>
  <si>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</si>
  <si>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</si>
  <si>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</si>
  <si>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</si>
  <si>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</si>
  <si>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</si>
  <si>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</si>
  <si>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</si>
  <si>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</si>
  <si>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</si>
  <si>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</si>
  <si>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</si>
  <si>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</si>
  <si>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</si>
  <si>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</si>
  <si>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</si>
  <si>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</si>
  <si>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</si>
  <si>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</si>
  <si>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</si>
  <si>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</si>
  <si>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</si>
  <si>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</si>
  <si>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</si>
  <si>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</si>
  <si>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</si>
  <si>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</si>
  <si>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</si>
  <si>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</si>
  <si>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</si>
  <si>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</si>
  <si>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</si>
  <si>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</si>
  <si>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</si>
  <si>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</si>
  <si>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</si>
  <si>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</si>
  <si>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</si>
  <si>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</si>
  <si>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</si>
  <si>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</si>
  <si>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</si>
  <si>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</si>
  <si>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</si>
  <si>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</si>
  <si>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</si>
  <si>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</si>
  <si>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</si>
  <si>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</si>
  <si>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</si>
  <si>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</si>
  <si>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</si>
  <si>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</si>
  <si>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</si>
  <si>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</si>
  <si>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</si>
  <si>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</si>
  <si>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</si>
  <si>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</si>
  <si>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</si>
  <si>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</si>
  <si>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</si>
  <si>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</si>
  <si>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</si>
  <si>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</si>
  <si>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</si>
  <si>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</si>
  <si>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</si>
  <si>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</si>
  <si>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</si>
  <si>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</si>
  <si>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</si>
  <si>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</si>
  <si>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</si>
  <si>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</si>
  <si>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</si>
  <si>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</si>
  <si>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</si>
  <si>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</si>
  <si>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</si>
  <si>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</si>
  <si>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</si>
  <si>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</si>
  <si>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</si>
  <si>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</si>
  <si>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</si>
  <si>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</si>
  <si>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</si>
  <si>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</si>
  <si>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</si>
  <si>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</si>
  <si>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</si>
  <si>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</si>
  <si>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</si>
  <si>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</si>
  <si>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</si>
  <si>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</si>
  <si>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</si>
  <si>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</si>
  <si>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</si>
  <si>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</si>
  <si>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</si>
  <si>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</si>
  <si>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</si>
  <si>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</si>
  <si>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</si>
  <si>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</si>
  <si>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</si>
  <si>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</si>
  <si>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</si>
  <si>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</si>
  <si>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</si>
  <si>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</si>
  <si>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</si>
  <si>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</si>
  <si>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</si>
  <si>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</si>
  <si>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</si>
  <si>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</si>
  <si>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</si>
  <si>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</si>
  <si>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</si>
  <si>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</si>
  <si>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</si>
  <si>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</si>
  <si>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</si>
  <si>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</si>
  <si>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</si>
  <si>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</si>
  <si>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</si>
  <si>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</si>
  <si>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</si>
  <si>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</si>
  <si>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</si>
  <si>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</si>
  <si>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</si>
  <si>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</si>
  <si>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</si>
  <si>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</si>
  <si>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</si>
  <si>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</si>
  <si>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</si>
  <si>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</si>
  <si>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</si>
  <si>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</si>
  <si>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</si>
  <si>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</si>
  <si>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</si>
  <si>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</si>
  <si>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</si>
  <si>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</si>
  <si>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</si>
  <si>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</si>
  <si>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</si>
  <si>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</si>
  <si>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</si>
  <si>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</si>
  <si>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</si>
  <si>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</si>
  <si>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</si>
  <si>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</si>
  <si>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</si>
  <si>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</si>
  <si>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</si>
  <si>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</si>
  <si>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</si>
  <si>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</si>
  <si>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</si>
  <si>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</si>
  <si>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</si>
  <si>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</si>
  <si>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</si>
  <si>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</si>
  <si>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</si>
  <si>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</si>
  <si>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</si>
  <si>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</si>
  <si>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</si>
  <si>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</si>
  <si>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</si>
  <si>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</si>
  <si>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</si>
  <si>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</si>
  <si>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</si>
  <si>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</si>
  <si>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</si>
  <si>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</si>
  <si>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</si>
  <si>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</si>
  <si>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</si>
  <si>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</si>
  <si>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</si>
  <si>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</si>
  <si>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</si>
  <si>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</si>
  <si>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</si>
  <si>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</si>
  <si>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</si>
  <si>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</si>
  <si>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</si>
  <si>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</si>
  <si>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</si>
  <si>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</si>
  <si>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</si>
  <si>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</si>
  <si>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</si>
  <si>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</si>
  <si>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</si>
  <si>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</si>
  <si>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</si>
  <si>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</si>
  <si>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</si>
  <si>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</si>
  <si>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</si>
  <si>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</si>
  <si>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</si>
  <si>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</si>
  <si>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</si>
  <si>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</si>
  <si>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</si>
  <si>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</si>
  <si>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</si>
  <si>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</si>
  <si>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</si>
  <si>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</si>
  <si>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</si>
  <si>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</si>
  <si>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</si>
  <si>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</si>
  <si>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</si>
  <si>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</si>
  <si>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</si>
  <si>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</si>
  <si>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</si>
  <si>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</si>
  <si>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</si>
  <si>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</si>
  <si>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</si>
  <si>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</si>
  <si>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</si>
  <si>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</si>
  <si>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</si>
  <si>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</si>
  <si>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</si>
  <si>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</si>
  <si>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</si>
  <si>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</si>
  <si>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</si>
  <si>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</si>
  <si>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</si>
  <si>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</si>
  <si>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</si>
  <si>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</si>
  <si>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</si>
  <si>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</si>
  <si>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</si>
  <si>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</si>
  <si>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</si>
  <si>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</si>
  <si>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</si>
  <si>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</si>
  <si>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</si>
  <si>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</si>
  <si>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</si>
  <si>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</si>
  <si>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</si>
  <si>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</si>
  <si>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</si>
  <si>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</si>
  <si>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</si>
  <si>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</si>
  <si>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</si>
  <si>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</si>
  <si>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</si>
  <si>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</si>
  <si>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</si>
  <si>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</si>
  <si>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</si>
  <si>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</si>
  <si>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</si>
  <si>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</si>
  <si>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</si>
  <si>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</si>
  <si>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</si>
  <si>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</si>
  <si>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</si>
  <si>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</si>
  <si>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</si>
  <si>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</si>
  <si>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</si>
  <si>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</si>
  <si>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</si>
  <si>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</si>
  <si>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</si>
  <si>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</si>
  <si>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</si>
  <si>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</si>
  <si>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</si>
  <si>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</si>
  <si>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</si>
  <si>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</si>
  <si>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</si>
  <si>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</si>
  <si>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</si>
  <si>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</si>
  <si>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</si>
  <si>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</si>
  <si>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</si>
  <si>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</si>
  <si>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</si>
  <si>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</si>
  <si>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</si>
  <si>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</si>
  <si>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</si>
  <si>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</si>
  <si>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</si>
  <si>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</si>
  <si>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</si>
  <si>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</si>
  <si>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</si>
  <si>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</si>
  <si>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</si>
  <si>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</si>
  <si>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</si>
  <si>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</si>
  <si>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</si>
  <si>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</si>
  <si>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</si>
  <si>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</si>
  <si>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</si>
  <si>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</si>
  <si>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</si>
  <si>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</si>
  <si>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</si>
  <si>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</si>
  <si>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</si>
  <si>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</si>
  <si>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</si>
  <si>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</si>
  <si>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</si>
  <si>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</si>
  <si>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</si>
  <si>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</si>
  <si>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</si>
  <si>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</si>
  <si>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</si>
  <si>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</si>
  <si>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</si>
  <si>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</si>
  <si>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</si>
  <si>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</si>
  <si>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</si>
  <si>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</si>
  <si>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</si>
  <si>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</si>
  <si>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</si>
  <si>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</si>
  <si>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</si>
  <si>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</si>
  <si>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</si>
  <si>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</si>
  <si>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</si>
  <si>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</si>
  <si>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</si>
  <si>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</si>
  <si>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</si>
  <si>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</si>
  <si>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</si>
  <si>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</si>
  <si>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</si>
  <si>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</si>
  <si>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</si>
  <si>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</si>
  <si>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</si>
  <si>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</si>
  <si>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</si>
  <si>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</si>
  <si>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</si>
  <si>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</si>
  <si>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</si>
  <si>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</si>
  <si>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</si>
  <si>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</si>
  <si>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</si>
  <si>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</si>
  <si>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</si>
  <si>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</si>
  <si>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</si>
  <si>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</si>
  <si>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</si>
  <si>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</si>
  <si>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</si>
  <si>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</si>
  <si>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</si>
  <si>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</si>
  <si>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</si>
  <si>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</si>
  <si>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</si>
  <si>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</si>
  <si>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</si>
  <si>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</si>
  <si>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</si>
  <si>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</si>
  <si>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</si>
  <si>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</si>
  <si>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</si>
  <si>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</si>
  <si>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</si>
  <si>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</si>
  <si>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</si>
  <si>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</si>
  <si>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</si>
  <si>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</si>
  <si>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</si>
  <si>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</si>
  <si>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</si>
  <si>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</si>
  <si>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</si>
  <si>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</si>
  <si>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</si>
  <si>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</si>
  <si>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</si>
  <si>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</si>
  <si>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</si>
  <si>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</si>
  <si>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</si>
  <si>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</si>
  <si>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</si>
  <si>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</si>
  <si>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</si>
  <si>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</si>
  <si>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</si>
  <si>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</si>
  <si>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</si>
  <si>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</si>
  <si>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</si>
  <si>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</si>
  <si>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</si>
  <si>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</si>
  <si>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</si>
  <si>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</si>
  <si>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</si>
  <si>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</si>
  <si>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</si>
  <si>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</si>
  <si>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</si>
  <si>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</si>
  <si>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</si>
  <si>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</si>
  <si>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</si>
  <si>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</si>
  <si>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</si>
  <si>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</si>
  <si>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</si>
  <si>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</si>
  <si>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</si>
  <si>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</si>
  <si>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</si>
  <si>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</si>
  <si>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</si>
  <si>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</si>
  <si>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</si>
  <si>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</si>
  <si>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</si>
  <si>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</si>
  <si>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</si>
  <si>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</si>
  <si>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</si>
  <si>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</si>
  <si>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</si>
  <si>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</si>
  <si>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</si>
  <si>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</si>
  <si>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</si>
  <si>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</si>
  <si>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</si>
  <si>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</si>
  <si>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</si>
  <si>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</si>
  <si>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</si>
  <si>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</si>
  <si>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</si>
  <si>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</si>
  <si>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</si>
  <si>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</si>
  <si>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</si>
  <si>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</si>
  <si>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</si>
  <si>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</si>
  <si>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</si>
  <si>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</si>
  <si>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</si>
  <si>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</si>
  <si>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</si>
  <si>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</si>
  <si>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</si>
  <si>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</si>
  <si>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</si>
  <si>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</si>
  <si>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</si>
  <si>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</si>
  <si>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</si>
  <si>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</si>
  <si>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</si>
  <si>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</si>
  <si>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</si>
  <si>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</si>
  <si>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</si>
  <si>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</si>
  <si>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</si>
  <si>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</si>
  <si>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</si>
  <si>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</si>
  <si>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</si>
  <si>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</si>
  <si>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</si>
  <si>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</si>
  <si>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</si>
  <si>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</si>
  <si>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</si>
  <si>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</si>
  <si>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</si>
  <si>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</si>
  <si>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</si>
  <si>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</si>
  <si>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</si>
  <si>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</si>
  <si>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</si>
  <si>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</si>
  <si>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</si>
  <si>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</si>
  <si>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</si>
  <si>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</si>
  <si>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</si>
  <si>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</si>
  <si>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</si>
  <si>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</si>
  <si>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</si>
  <si>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</si>
  <si>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</si>
  <si>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</si>
  <si>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</si>
  <si>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</si>
  <si>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</si>
  <si>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</si>
  <si>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</si>
  <si>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</si>
  <si>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</si>
  <si>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</si>
  <si>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</si>
  <si>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</si>
  <si>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</si>
  <si>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</si>
  <si>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</si>
  <si>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</si>
  <si>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</si>
  <si>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</si>
  <si>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</si>
  <si>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</si>
  <si>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</si>
  <si>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</si>
  <si>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</si>
  <si>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</si>
  <si>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</si>
  <si>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</si>
  <si>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</si>
  <si>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</si>
  <si>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</si>
  <si>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</si>
  <si>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</si>
  <si>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</si>
  <si>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</si>
  <si>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</si>
  <si>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</si>
  <si>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</si>
  <si>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</si>
  <si>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</si>
  <si>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</si>
  <si>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</si>
  <si>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</si>
  <si>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</si>
  <si>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</si>
  <si>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</si>
  <si>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</si>
  <si>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</si>
  <si>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</si>
  <si>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</si>
  <si>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</si>
  <si>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</si>
  <si>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</si>
  <si>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</si>
  <si>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</si>
  <si>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</si>
  <si>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</si>
  <si>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</si>
  <si>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</si>
  <si>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</si>
  <si>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</si>
  <si>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</si>
  <si>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</si>
  <si>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</si>
  <si>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</si>
  <si>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</si>
  <si>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</si>
  <si>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</si>
  <si>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</si>
  <si>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</si>
  <si>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</si>
  <si>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</si>
  <si>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</si>
  <si>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</si>
  <si>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</si>
  <si>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</si>
  <si>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</si>
  <si>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</si>
  <si>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</si>
  <si>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</si>
  <si>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</si>
  <si>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</si>
  <si>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</si>
  <si>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</si>
  <si>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</si>
  <si>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</si>
  <si>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</si>
  <si>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</si>
  <si>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</si>
  <si>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</si>
  <si>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</si>
  <si>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</si>
  <si>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</si>
  <si>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</si>
  <si>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</si>
  <si>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</si>
  <si>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</si>
  <si>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</si>
  <si>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</si>
  <si>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</si>
  <si>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</si>
  <si>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</si>
  <si>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</si>
  <si>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</si>
  <si>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</si>
  <si>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</si>
  <si>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</si>
  <si>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</si>
  <si>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</si>
  <si>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</si>
  <si>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</si>
  <si>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</si>
  <si>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</si>
  <si>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</si>
  <si>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</si>
  <si>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</si>
  <si>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</si>
  <si>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</si>
  <si>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</si>
  <si>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</si>
  <si>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</si>
  <si>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</si>
  <si>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</si>
  <si>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</si>
  <si>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</si>
  <si>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</si>
  <si>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</si>
  <si>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</si>
  <si>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</si>
  <si>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</si>
  <si>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</si>
  <si>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</si>
  <si>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</si>
  <si>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</si>
  <si>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</si>
  <si>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</si>
  <si>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</si>
  <si>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</si>
  <si>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</si>
  <si>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</si>
  <si>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</si>
  <si>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</si>
  <si>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</si>
  <si>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</si>
  <si>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</si>
  <si>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</si>
  <si>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</si>
  <si>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</si>
  <si>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</si>
  <si>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</si>
  <si>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</si>
  <si>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</si>
  <si>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</si>
  <si>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</si>
  <si>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</si>
  <si>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</si>
  <si>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</si>
  <si>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</si>
  <si>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</si>
  <si>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</si>
  <si>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</si>
  <si>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</si>
  <si>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</si>
  <si>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</si>
  <si>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</si>
  <si>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</si>
  <si>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</si>
  <si>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</si>
  <si>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</si>
  <si>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</si>
  <si>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</si>
  <si>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</si>
  <si>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</si>
  <si>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</si>
  <si>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</si>
  <si>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</si>
  <si>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</si>
  <si>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</si>
  <si>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</si>
  <si>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</si>
  <si>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</si>
  <si>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</si>
  <si>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</si>
  <si>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</si>
  <si>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</si>
  <si>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</si>
  <si>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</si>
  <si>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</si>
  <si>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</si>
  <si>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</si>
  <si>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</si>
  <si>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</si>
  <si>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</si>
  <si>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</si>
  <si>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</si>
  <si>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</si>
  <si>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</si>
  <si>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</si>
  <si>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</si>
  <si>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</si>
  <si>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</si>
  <si>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</si>
  <si>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</si>
  <si>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</si>
  <si>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</si>
  <si>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</si>
  <si>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</si>
  <si>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</si>
  <si>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</si>
  <si>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</si>
  <si>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</si>
  <si>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</si>
  <si>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</si>
  <si>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</si>
  <si>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</si>
  <si>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</si>
  <si>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</si>
  <si>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</si>
  <si>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</si>
  <si>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</si>
  <si>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</si>
  <si>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</si>
  <si>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</si>
  <si>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</si>
  <si>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</si>
  <si>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</si>
  <si>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</si>
  <si>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</si>
  <si>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</si>
  <si>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</si>
  <si>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</si>
  <si>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</si>
  <si>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</si>
  <si>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</si>
  <si>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</si>
  <si>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</si>
  <si>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</si>
  <si>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</si>
  <si>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</si>
  <si>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</si>
  <si>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</si>
  <si>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</si>
  <si>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</si>
  <si>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</si>
  <si>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</si>
  <si>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</si>
  <si>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</si>
  <si>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</si>
  <si>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</si>
  <si>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</si>
  <si>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</si>
  <si>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</si>
  <si>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</si>
  <si>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</si>
  <si>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</si>
  <si>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</si>
  <si>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</si>
  <si>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</si>
  <si>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</si>
  <si>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</si>
  <si>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</si>
  <si>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</si>
  <si>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</si>
  <si>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</si>
  <si>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</si>
  <si>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</si>
  <si>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</si>
  <si>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</si>
  <si>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</si>
  <si>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</si>
  <si>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</si>
  <si>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</si>
  <si>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</si>
  <si>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</si>
  <si>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</si>
  <si>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</si>
  <si>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</si>
  <si>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</si>
  <si>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</si>
  <si>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</si>
  <si>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</si>
  <si>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</si>
  <si>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</si>
  <si>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</si>
  <si>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</si>
  <si>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</si>
  <si>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</si>
  <si>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</si>
  <si>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</si>
  <si>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</si>
  <si>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</si>
  <si>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</si>
  <si>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</si>
  <si>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</si>
  <si>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</si>
  <si>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</si>
  <si>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</si>
  <si>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</si>
  <si>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</si>
  <si>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</si>
  <si>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</si>
  <si>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</si>
  <si>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</si>
  <si>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</si>
  <si>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</si>
  <si>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</si>
  <si>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</si>
  <si>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</si>
  <si>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</si>
  <si>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</si>
  <si>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</si>
  <si>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</si>
  <si>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</si>
  <si>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</si>
  <si>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</si>
  <si>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</si>
  <si>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</si>
  <si>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</si>
  <si>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</si>
  <si>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</si>
  <si>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</si>
  <si>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</si>
  <si>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</si>
  <si>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</si>
  <si>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</si>
  <si>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</si>
  <si>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</si>
  <si>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</si>
  <si>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</si>
  <si>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</si>
  <si>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</si>
  <si>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</si>
  <si>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</si>
  <si>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</si>
  <si>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</si>
  <si>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</si>
  <si>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</si>
  <si>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</si>
  <si>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</si>
  <si>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</si>
  <si>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</si>
  <si>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</si>
  <si>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</si>
  <si>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</si>
  <si>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</si>
  <si>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</si>
  <si>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</si>
  <si>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</si>
  <si>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</si>
  <si>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</si>
  <si>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</si>
  <si>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</si>
  <si>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</si>
  <si>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</si>
  <si>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</si>
  <si>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</si>
  <si>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</si>
  <si>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</si>
  <si>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</si>
  <si>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</si>
  <si>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</si>
  <si>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</si>
  <si>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</si>
  <si>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</si>
  <si>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</si>
  <si>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</si>
  <si>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</si>
  <si>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</si>
  <si>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</si>
  <si>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</si>
  <si>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</si>
  <si>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</si>
  <si>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</si>
  <si>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</si>
  <si>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</si>
  <si>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</si>
  <si>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</si>
  <si>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</si>
  <si>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</si>
  <si>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</si>
  <si>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</si>
  <si>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</si>
  <si>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</si>
  <si>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</si>
  <si>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</si>
  <si>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</si>
  <si>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</si>
  <si>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</si>
  <si>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</si>
  <si>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</si>
  <si>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</si>
  <si>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</si>
  <si>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</si>
  <si>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</si>
  <si>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</si>
  <si>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</si>
  <si>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</si>
  <si>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</si>
  <si>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</si>
  <si>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</si>
  <si>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</si>
  <si>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</si>
  <si>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</si>
  <si>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</si>
  <si>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</si>
  <si>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</si>
  <si>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</si>
  <si>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</si>
  <si>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</si>
  <si>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</si>
  <si>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</si>
  <si>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</si>
  <si>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</si>
  <si>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</si>
  <si>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</si>
  <si>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</si>
  <si>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</si>
  <si>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</si>
  <si>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</si>
  <si>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</si>
  <si>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</si>
  <si>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</si>
  <si>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</si>
  <si>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</si>
  <si>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</si>
  <si>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</si>
  <si>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</si>
  <si>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</si>
  <si>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</si>
  <si>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</si>
  <si>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</si>
  <si>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</si>
  <si>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</si>
  <si>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</si>
  <si>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</si>
  <si>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</si>
  <si>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</si>
  <si>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</si>
  <si>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</si>
  <si>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</si>
  <si>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</si>
  <si>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</si>
  <si>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</si>
  <si>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</si>
  <si>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</si>
  <si>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</si>
  <si>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</si>
  <si>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</si>
  <si>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</si>
  <si>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</si>
  <si>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</si>
  <si>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</si>
  <si>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</si>
  <si>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</si>
  <si>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</si>
  <si>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</si>
  <si>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</si>
  <si>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</si>
  <si>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</si>
  <si>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</si>
  <si>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</si>
  <si>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</si>
  <si>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</si>
  <si>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</si>
  <si>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</si>
  <si>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</si>
  <si>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</si>
  <si>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</si>
  <si>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</si>
  <si>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</si>
  <si>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</si>
  <si>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</si>
  <si>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</si>
  <si>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</si>
  <si>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</si>
  <si>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</si>
  <si>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</si>
  <si>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</si>
  <si>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</si>
  <si>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</si>
  <si>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</si>
  <si>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</si>
  <si>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</si>
  <si>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</si>
  <si>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</si>
  <si>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</si>
  <si>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</si>
  <si>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</si>
  <si>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</si>
  <si>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</si>
  <si>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</si>
  <si>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</si>
  <si>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</si>
  <si>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</si>
  <si>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</si>
  <si>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</si>
  <si>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</si>
  <si>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</si>
  <si>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</si>
  <si>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</si>
  <si>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</si>
  <si>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</si>
  <si>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</si>
  <si>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</si>
  <si>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</si>
  <si>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</si>
  <si>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</si>
  <si>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</si>
  <si>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</si>
  <si>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</si>
  <si>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</si>
  <si>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</si>
  <si>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</si>
  <si>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</si>
  <si>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</si>
  <si>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</si>
  <si>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</si>
  <si>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</si>
  <si>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</si>
  <si>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</si>
  <si>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</si>
  <si>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</si>
  <si>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</si>
  <si>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</si>
  <si>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</si>
  <si>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</si>
  <si>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</si>
  <si>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</si>
  <si>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</si>
  <si>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</si>
  <si>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</si>
  <si>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</si>
  <si>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</si>
  <si>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</si>
  <si>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</si>
  <si>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</si>
  <si>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</si>
  <si>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</si>
  <si>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</si>
  <si>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</si>
  <si>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</si>
  <si>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</si>
  <si>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</si>
  <si>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</si>
  <si>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</si>
  <si>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</si>
  <si>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</si>
  <si>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</si>
  <si>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</si>
  <si>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</si>
  <si>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</si>
  <si>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</si>
  <si>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</si>
  <si>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</si>
  <si>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</si>
  <si>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</si>
  <si>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</si>
  <si>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</si>
  <si>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</si>
  <si>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</si>
  <si>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</si>
  <si>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</si>
  <si>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</si>
  <si>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</si>
  <si>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</si>
  <si>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</si>
  <si>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</si>
  <si>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</si>
  <si>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</si>
  <si>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</si>
  <si>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</si>
  <si>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</si>
  <si>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</si>
  <si>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</si>
  <si>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</si>
  <si>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</si>
  <si>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</si>
  <si>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</si>
  <si>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</si>
  <si>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</si>
  <si>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</si>
  <si>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</si>
  <si>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</si>
  <si>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</si>
  <si>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</si>
  <si>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</si>
  <si>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</si>
  <si>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</si>
  <si>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</si>
  <si>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</si>
  <si>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</si>
  <si>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</si>
  <si>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</si>
  <si>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</si>
  <si>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</si>
  <si>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</si>
  <si>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</si>
  <si>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</si>
  <si>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</si>
  <si>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</si>
  <si>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</si>
  <si>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</si>
  <si>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</si>
  <si>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</si>
  <si>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</si>
  <si>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</si>
  <si>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</si>
  <si>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</si>
  <si>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</si>
  <si>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</si>
  <si>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</si>
  <si>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</si>
  <si>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</si>
  <si>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</si>
  <si>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</si>
  <si>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</si>
  <si>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</si>
  <si>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</si>
  <si>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</si>
  <si>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</si>
  <si>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</si>
  <si>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</si>
  <si>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</si>
  <si>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</si>
  <si>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</si>
  <si>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</si>
  <si>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</si>
  <si>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</si>
  <si>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</si>
  <si>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</si>
  <si>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</si>
  <si>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</si>
  <si>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</si>
  <si>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</si>
  <si>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</si>
  <si>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</si>
  <si>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</si>
  <si>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</si>
  <si>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</si>
  <si>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</si>
  <si>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</si>
  <si>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</si>
  <si>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</si>
  <si>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</si>
  <si>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</si>
  <si>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</si>
  <si>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</si>
  <si>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</si>
  <si>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</si>
  <si>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</si>
  <si>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</si>
  <si>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</si>
  <si>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</si>
  <si>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</si>
  <si>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</si>
  <si>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</si>
  <si>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</si>
  <si>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</si>
  <si>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</si>
  <si>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</si>
  <si>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</si>
  <si>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</si>
  <si>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</si>
  <si>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</si>
  <si>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</si>
  <si>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</si>
  <si>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</si>
  <si>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</si>
  <si>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</si>
  <si>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</si>
  <si>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</si>
  <si>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</si>
  <si>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</si>
  <si>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</si>
  <si>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</si>
  <si>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</si>
  <si>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</si>
  <si>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</si>
  <si>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</si>
  <si>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</si>
  <si>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</si>
  <si>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</si>
  <si>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</si>
  <si>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</si>
  <si>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</si>
  <si>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</si>
  <si>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</si>
  <si>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</si>
  <si>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</si>
  <si>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</si>
  <si>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</si>
  <si>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</si>
  <si>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</si>
  <si>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</si>
  <si>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</si>
  <si>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</si>
  <si>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</si>
  <si>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</si>
  <si>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</si>
  <si>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</si>
  <si>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</si>
  <si>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</si>
  <si>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</si>
  <si>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</si>
  <si>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</si>
  <si>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</si>
  <si>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</si>
  <si>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</si>
  <si>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</si>
  <si>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</si>
  <si>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</si>
  <si>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</si>
  <si>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</si>
  <si>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</si>
  <si>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</si>
  <si>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</si>
  <si>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</si>
  <si>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</si>
  <si>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</si>
  <si>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</si>
  <si>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</si>
  <si>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</si>
  <si>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</si>
  <si>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</si>
  <si>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</si>
  <si>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</si>
  <si>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</si>
  <si>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</si>
  <si>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</si>
  <si>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</si>
  <si>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</si>
  <si>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</si>
  <si>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</si>
  <si>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</si>
  <si>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</si>
  <si>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</si>
  <si>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</si>
  <si>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</si>
  <si>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</si>
  <si>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</si>
  <si>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</si>
  <si>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</si>
  <si>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</si>
  <si>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</si>
  <si>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</si>
  <si>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</si>
  <si>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</si>
  <si>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</si>
  <si>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</si>
  <si>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</si>
  <si>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</si>
  <si>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</si>
  <si>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</si>
  <si>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</si>
  <si>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</si>
  <si>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</si>
  <si>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</si>
  <si>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</si>
  <si>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</si>
  <si>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</si>
  <si>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</si>
  <si>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</si>
  <si>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</si>
  <si>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</si>
  <si>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</si>
  <si>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</si>
  <si>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</si>
  <si>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</si>
  <si>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</si>
  <si>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</si>
  <si>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</si>
  <si>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</si>
  <si>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</si>
  <si>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</si>
  <si>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</si>
  <si>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</si>
  <si>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</si>
  <si>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</si>
  <si>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</si>
  <si>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</si>
  <si>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</si>
  <si>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</si>
  <si>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</si>
  <si>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</si>
  <si>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</si>
  <si>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</si>
  <si>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</si>
  <si>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</si>
  <si>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</si>
  <si>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</si>
  <si>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</si>
  <si>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</si>
  <si>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</si>
  <si>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</si>
  <si>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</si>
  <si>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</si>
  <si>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</si>
  <si>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</si>
  <si>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</si>
  <si>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</si>
  <si>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</si>
  <si>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</si>
  <si>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</si>
  <si>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</si>
  <si>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</si>
  <si>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</si>
  <si>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</si>
  <si>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</si>
  <si>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</si>
  <si>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</si>
  <si>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</si>
  <si>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</si>
  <si>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</si>
  <si>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</si>
  <si>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</si>
  <si>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</si>
  <si>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</si>
  <si>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</si>
  <si>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</si>
  <si>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</si>
  <si>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</si>
  <si>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</si>
  <si>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</si>
  <si>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</si>
  <si>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</si>
  <si>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</si>
  <si>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</si>
  <si>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</si>
  <si>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</si>
  <si>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</si>
  <si>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</si>
  <si>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</si>
  <si>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</si>
  <si>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</si>
  <si>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</si>
  <si>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</si>
  <si>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</si>
  <si>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</si>
  <si>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</si>
  <si>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</si>
  <si>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</si>
  <si>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</si>
  <si>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</si>
  <si>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</si>
  <si>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</si>
  <si>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</si>
  <si>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</si>
  <si>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</si>
  <si>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</si>
  <si>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</si>
  <si>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</si>
  <si>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</si>
  <si>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</si>
  <si>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</si>
  <si>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</si>
  <si>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</si>
  <si>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</si>
  <si>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</si>
  <si>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</si>
  <si>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</si>
  <si>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</si>
  <si>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</si>
  <si>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</si>
  <si>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</si>
  <si>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</si>
  <si>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</si>
  <si>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</si>
  <si>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</si>
  <si>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</si>
  <si>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</si>
  <si>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</si>
  <si>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</si>
  <si>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</si>
  <si>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</si>
  <si>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</si>
  <si>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</si>
  <si>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</si>
  <si>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</si>
  <si>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</si>
  <si>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</si>
  <si>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</si>
  <si>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</si>
  <si>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</si>
  <si>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</si>
  <si>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</si>
  <si>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</si>
  <si>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</si>
  <si>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</si>
  <si>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</si>
  <si>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</si>
  <si>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</si>
  <si>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</si>
  <si>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</si>
  <si>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</si>
  <si>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</si>
  <si>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</si>
  <si>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</si>
  <si>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</si>
  <si>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</si>
  <si>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</si>
  <si>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</si>
  <si>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</si>
  <si>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</si>
  <si>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</si>
  <si>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</si>
  <si>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</si>
  <si>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</si>
  <si>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</si>
  <si>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</si>
  <si>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</si>
  <si>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</si>
  <si>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</si>
  <si>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</si>
  <si>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</si>
  <si>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</si>
  <si>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</si>
  <si>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</si>
  <si>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</si>
  <si>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</si>
  <si>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</si>
  <si>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</si>
  <si>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</si>
  <si>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</si>
  <si>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</si>
  <si>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</si>
  <si>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</si>
  <si>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</si>
  <si>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</si>
  <si>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</si>
  <si>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</si>
  <si>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</si>
  <si>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</si>
  <si>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</si>
  <si>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</si>
  <si>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</si>
  <si>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</si>
  <si>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</si>
  <si>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</si>
  <si>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</si>
  <si>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</si>
  <si>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</si>
  <si>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</si>
  <si>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</si>
  <si>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</si>
  <si>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</si>
  <si>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</si>
  <si>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</si>
  <si>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</si>
  <si>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</si>
  <si>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</si>
  <si>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</si>
  <si>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</si>
  <si>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</si>
  <si>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</si>
  <si>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</si>
  <si>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</si>
  <si>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</si>
  <si>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</si>
  <si>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</si>
  <si>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</si>
  <si>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</si>
  <si>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</si>
  <si>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</si>
  <si>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</si>
  <si>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</si>
  <si>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</si>
  <si>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</si>
  <si>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</si>
  <si>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</si>
  <si>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</si>
  <si>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</si>
  <si>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</si>
  <si>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</si>
  <si>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</si>
  <si>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</si>
  <si>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</si>
  <si>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</si>
  <si>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</si>
  <si>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</si>
  <si>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</si>
  <si>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</si>
  <si>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</si>
  <si>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</si>
  <si>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</si>
  <si>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</si>
  <si>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</si>
  <si>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</si>
  <si>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</si>
  <si>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</si>
  <si>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</si>
  <si>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</si>
  <si>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</si>
  <si>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</si>
  <si>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</si>
  <si>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</si>
  <si>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</si>
  <si>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</si>
  <si>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</si>
  <si>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</si>
  <si>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</si>
  <si>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</si>
  <si>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</si>
  <si>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</si>
  <si>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</si>
  <si>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</si>
  <si>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</si>
  <si>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</si>
  <si>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</si>
  <si>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</si>
  <si>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</si>
  <si>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</si>
  <si>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</si>
  <si>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</si>
  <si>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</si>
  <si>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</si>
  <si>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</si>
  <si>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</si>
  <si>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</si>
  <si>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</si>
  <si>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</si>
  <si>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</si>
  <si>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</si>
  <si>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</si>
  <si>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</si>
  <si>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</si>
  <si>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</si>
  <si>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</si>
  <si>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</si>
  <si>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</si>
  <si>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</si>
  <si>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</si>
  <si>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</si>
  <si>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</si>
  <si>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</si>
  <si>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</si>
  <si>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</si>
  <si>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</si>
  <si>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</si>
  <si>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</si>
  <si>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</si>
  <si>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</si>
  <si>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</si>
  <si>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</si>
  <si>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</si>
  <si>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</si>
  <si>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</si>
  <si>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</si>
  <si>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</si>
  <si>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</si>
  <si>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</si>
  <si>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</si>
  <si>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</si>
  <si>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</si>
  <si>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</si>
  <si>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</si>
  <si>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</si>
  <si>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</si>
  <si>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</si>
  <si>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</si>
  <si>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</si>
  <si>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</si>
  <si>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</si>
  <si>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</si>
  <si>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</si>
  <si>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</si>
  <si>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</si>
  <si>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</si>
  <si>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</si>
  <si>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</si>
  <si>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</si>
  <si>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</si>
  <si>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</si>
  <si>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</si>
  <si>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</si>
  <si>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</si>
  <si>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</si>
  <si>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</si>
  <si>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</si>
  <si>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</si>
  <si>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</si>
  <si>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</si>
  <si>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</si>
  <si>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</si>
  <si>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</si>
  <si>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</si>
  <si>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</si>
  <si>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</si>
  <si>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</si>
  <si>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</si>
  <si>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</si>
  <si>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</si>
  <si>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</si>
  <si>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</si>
  <si>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</si>
  <si>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</si>
  <si>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</si>
  <si>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</si>
  <si>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</si>
  <si>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</si>
  <si>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</si>
  <si>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</si>
  <si>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</si>
  <si>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</si>
  <si>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</si>
  <si>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</si>
  <si>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</si>
  <si>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</si>
  <si>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</si>
  <si>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</si>
  <si>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</si>
  <si>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</si>
  <si>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</si>
  <si>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</si>
  <si>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</si>
  <si>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</si>
  <si>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</si>
  <si>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</si>
  <si>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</si>
  <si>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</si>
  <si>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</si>
  <si>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</si>
  <si>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</si>
  <si>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</si>
  <si>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</si>
  <si>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</si>
  <si>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</si>
  <si>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</si>
  <si>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</si>
  <si>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</si>
  <si>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</si>
  <si>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</si>
  <si>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</si>
  <si>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</si>
  <si>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</si>
  <si>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</si>
  <si>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</si>
  <si>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</si>
  <si>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</si>
  <si>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</si>
  <si>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</si>
  <si>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</si>
  <si>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</si>
  <si>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</si>
  <si>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</si>
  <si>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</si>
  <si>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</si>
  <si>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</si>
  <si>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</si>
  <si>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</si>
  <si>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</si>
  <si>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</si>
  <si>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</si>
  <si>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</si>
  <si>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</si>
  <si>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</si>
  <si>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</si>
  <si>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</si>
  <si>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</si>
  <si>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</si>
  <si>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</si>
  <si>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</si>
  <si>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</si>
  <si>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</si>
  <si>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</si>
  <si>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</si>
  <si>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</si>
  <si>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</si>
  <si>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</si>
  <si>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</si>
  <si>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</si>
  <si>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</si>
  <si>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</si>
  <si>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</si>
  <si>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</si>
  <si>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</si>
  <si>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</si>
  <si>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</si>
  <si>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</si>
  <si>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</si>
  <si>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</si>
  <si>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</si>
  <si>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</si>
  <si>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</si>
  <si>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</si>
  <si>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</si>
  <si>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</si>
  <si>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</si>
  <si>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</si>
  <si>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</si>
  <si>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</si>
  <si>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</si>
  <si>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</si>
  <si>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</si>
  <si>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</si>
  <si>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</si>
  <si>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</si>
  <si>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</si>
  <si>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</si>
  <si>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</si>
  <si>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</si>
  <si>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</si>
  <si>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</si>
  <si>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</si>
  <si>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</si>
  <si>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</si>
  <si>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</si>
  <si>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</si>
  <si>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</si>
  <si>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</si>
  <si>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</si>
  <si>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</si>
  <si>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</si>
  <si>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</si>
  <si>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</si>
  <si>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</si>
  <si>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</si>
  <si>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</si>
  <si>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</si>
  <si>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</si>
  <si>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</si>
  <si>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</si>
  <si>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</si>
  <si>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</si>
  <si>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</si>
  <si>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</si>
  <si>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</si>
  <si>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</si>
  <si>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</si>
  <si>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</si>
  <si>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</si>
  <si>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</si>
  <si>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</si>
  <si>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</si>
  <si>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</si>
  <si>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</si>
  <si>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</si>
  <si>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</si>
  <si>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</si>
  <si>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</si>
  <si>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</si>
  <si>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</si>
  <si>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</si>
  <si>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</si>
  <si>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</si>
  <si>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</si>
  <si>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</si>
  <si>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</si>
  <si>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</si>
  <si>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</si>
  <si>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</si>
  <si>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</si>
  <si>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</si>
  <si>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</si>
  <si>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</si>
  <si>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</si>
  <si>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</si>
  <si>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</si>
  <si>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</si>
  <si>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</si>
  <si>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</si>
  <si>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</si>
  <si>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</si>
  <si>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</si>
  <si>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</si>
  <si>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</si>
  <si>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</si>
  <si>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</si>
  <si>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</si>
  <si>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</si>
  <si>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</si>
  <si>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</si>
  <si>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</si>
  <si>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</si>
  <si>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</si>
  <si>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</si>
  <si>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</si>
  <si>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</si>
  <si>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</si>
  <si>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</si>
  <si>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</si>
  <si>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</si>
  <si>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</si>
  <si>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</si>
  <si>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</si>
  <si>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</si>
  <si>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</si>
  <si>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</si>
  <si>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</si>
  <si>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</si>
  <si>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</si>
  <si>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</si>
  <si>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</si>
  <si>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</si>
  <si>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</si>
  <si>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</si>
  <si>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</si>
  <si>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</si>
  <si>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</si>
  <si>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</si>
  <si>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</si>
  <si>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</si>
  <si>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</si>
  <si>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</si>
  <si>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</si>
  <si>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</si>
  <si>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</si>
  <si>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</si>
  <si>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</si>
  <si>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</si>
  <si>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</si>
  <si>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</si>
  <si>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</si>
  <si>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</si>
  <si>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</si>
  <si>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</si>
  <si>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</si>
  <si>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</si>
  <si>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</si>
  <si>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</si>
  <si>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</si>
  <si>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</si>
  <si>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</si>
  <si>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</si>
  <si>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</si>
  <si>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</si>
  <si>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</si>
  <si>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</si>
  <si>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</si>
  <si>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</si>
  <si>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</si>
  <si>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</si>
  <si>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</si>
  <si>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</si>
  <si>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</si>
  <si>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</si>
  <si>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</si>
  <si>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</si>
  <si>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</si>
  <si>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</si>
  <si>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</si>
  <si>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</si>
  <si>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</si>
  <si>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</si>
  <si>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</si>
  <si>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</si>
  <si>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</si>
  <si>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</si>
  <si>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</si>
  <si>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</si>
  <si>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</si>
  <si>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</si>
  <si>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</si>
  <si>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</si>
  <si>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</si>
  <si>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</si>
  <si>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</si>
  <si>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</si>
  <si>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</si>
  <si>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</si>
  <si>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</si>
  <si>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</si>
  <si>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</si>
  <si>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</si>
  <si>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</si>
  <si>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</si>
  <si>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</si>
  <si>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</si>
  <si>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</si>
  <si>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</si>
  <si>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</si>
  <si>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</si>
  <si>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</si>
  <si>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</si>
  <si>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</si>
  <si>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</si>
  <si>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</si>
  <si>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</si>
  <si>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</si>
  <si>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</si>
  <si>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</si>
  <si>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</si>
  <si>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</si>
  <si>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</si>
  <si>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</si>
  <si>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</si>
  <si>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</si>
  <si>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</si>
  <si>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</si>
  <si>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</si>
  <si>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</si>
  <si>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</si>
  <si>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</si>
  <si>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</si>
  <si>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</si>
  <si>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</si>
  <si>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</si>
  <si>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</si>
  <si>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</si>
  <si>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</si>
  <si>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</si>
  <si>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</si>
  <si>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</si>
  <si>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</si>
  <si>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</si>
  <si>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</si>
  <si>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</si>
  <si>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</si>
  <si>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</si>
  <si>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</si>
  <si>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</si>
  <si>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</si>
  <si>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</si>
  <si>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</si>
  <si>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</si>
  <si>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</si>
  <si>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</si>
  <si>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</si>
  <si>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</si>
  <si>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</si>
  <si>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</si>
  <si>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</si>
  <si>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</si>
  <si>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</si>
  <si>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</si>
  <si>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</si>
  <si>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</si>
  <si>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</si>
  <si>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</si>
  <si>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</si>
  <si>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</si>
  <si>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</si>
  <si>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</si>
  <si>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</si>
  <si>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</si>
  <si>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</si>
  <si>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</si>
  <si>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</si>
  <si>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</si>
  <si>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</si>
  <si>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</si>
  <si>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</si>
  <si>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</si>
  <si>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</si>
  <si>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</si>
  <si>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</si>
  <si>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</si>
  <si>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</si>
  <si>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</si>
  <si>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</si>
  <si>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</si>
  <si>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</si>
  <si>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</si>
  <si>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</si>
  <si>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</si>
  <si>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</si>
  <si>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</si>
  <si>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</si>
  <si>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</si>
  <si>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</si>
  <si>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</si>
  <si>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</si>
  <si>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</si>
  <si>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</si>
  <si>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</si>
  <si>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</si>
  <si>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</si>
  <si>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</si>
  <si>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</si>
  <si>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</si>
  <si>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</si>
  <si>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</si>
  <si>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</si>
  <si>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</si>
  <si>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</si>
  <si>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</si>
  <si>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</si>
  <si>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</si>
  <si>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</si>
  <si>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</si>
  <si>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</si>
  <si>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</si>
  <si>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</si>
  <si>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</si>
  <si>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</si>
  <si>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</si>
  <si>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</si>
  <si>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</si>
  <si>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</si>
  <si>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</si>
  <si>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</si>
  <si>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</si>
  <si>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</si>
  <si>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</si>
  <si>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</si>
  <si>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</si>
  <si>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</si>
  <si>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</si>
  <si>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</si>
  <si>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</si>
  <si>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</si>
  <si>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</si>
  <si>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</si>
  <si>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</si>
  <si>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</si>
  <si>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</si>
  <si>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</si>
  <si>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</si>
  <si>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</si>
  <si>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</si>
  <si>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</si>
  <si>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</si>
  <si>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</si>
  <si>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</si>
  <si>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</si>
  <si>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</si>
  <si>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</si>
  <si>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</si>
  <si>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</si>
  <si>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</si>
  <si>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</si>
  <si>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</si>
  <si>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</si>
  <si>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</si>
  <si>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</si>
  <si>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</si>
  <si>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</si>
  <si>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</si>
  <si>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</si>
  <si>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</si>
  <si>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</si>
  <si>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</si>
  <si>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</si>
  <si>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</si>
  <si>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</si>
  <si>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</si>
  <si>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</si>
  <si>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</si>
  <si>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</si>
  <si>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</si>
  <si>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</si>
  <si>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</si>
  <si>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</si>
  <si>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</si>
  <si>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</si>
  <si>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</si>
  <si>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</si>
  <si>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</si>
  <si>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</si>
  <si>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</si>
  <si>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</si>
  <si>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</si>
  <si>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</si>
  <si>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</si>
  <si>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</si>
  <si>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</si>
  <si>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</si>
  <si>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</si>
  <si>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</si>
  <si>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</si>
  <si>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</si>
  <si>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</si>
  <si>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</si>
  <si>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</si>
  <si>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</si>
  <si>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</si>
  <si>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</si>
  <si>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</si>
  <si>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</si>
  <si>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</si>
  <si>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</si>
  <si>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</si>
  <si>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</si>
  <si>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</si>
  <si>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</si>
  <si>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</si>
  <si>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</si>
  <si>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</si>
  <si>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</si>
  <si>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</si>
  <si>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</si>
  <si>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</si>
  <si>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</si>
  <si>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</si>
  <si>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</si>
  <si>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</si>
  <si>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</si>
  <si>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</si>
  <si>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</si>
  <si>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</si>
  <si>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</si>
  <si>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</si>
  <si>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</si>
  <si>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</si>
  <si>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</si>
  <si>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</si>
  <si>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</si>
  <si>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</si>
  <si>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</si>
  <si>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</si>
  <si>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</si>
  <si>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</si>
  <si>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</si>
  <si>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</si>
  <si>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</si>
  <si>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</si>
  <si>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</si>
  <si>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</si>
  <si>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</si>
  <si>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</si>
  <si>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</si>
  <si>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</si>
  <si>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</si>
  <si>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</si>
  <si>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</si>
  <si>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</si>
  <si>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</si>
  <si>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</si>
  <si>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</si>
  <si>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</si>
  <si>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</si>
  <si>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HUGUES TUPHILE</t>
  </si>
  <si>
    <t xml:space="preserve">TECH</t>
  </si>
  <si>
    <t xml:space="preserve">TECH A ELNE</t>
  </si>
  <si>
    <t xml:space="preserve">06168000</t>
  </si>
  <si>
    <t xml:space="preserve">(Date)</t>
  </si>
  <si>
    <t xml:space="preserve">28/07/2016</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</si>
  <si>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</si>
  <si>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</si>
  <si>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</si>
  <si>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</si>
  <si>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</si>
  <si>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</si>
  <si>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</si>
  <si>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</si>
  <si>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</si>
  <si>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</si>
  <si>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</si>
  <si>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</si>
  <si>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</si>
  <si>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</si>
  <si>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</si>
  <si>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</si>
  <si>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</si>
  <si>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</si>
  <si>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</si>
  <si>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</si>
  <si>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</si>
  <si>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</si>
  <si>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</si>
  <si>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</si>
  <si>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</si>
  <si>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</si>
  <si>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</si>
  <si>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</si>
  <si>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</si>
  <si>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</si>
  <si>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</si>
  <si>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</si>
  <si>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</si>
  <si>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</si>
  <si>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</si>
  <si>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</si>
  <si>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</si>
  <si>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</si>
  <si>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</si>
  <si>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</si>
  <si>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</si>
  <si>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</si>
  <si>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</si>
  <si>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</si>
  <si>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</si>
  <si>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</si>
  <si>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</si>
  <si>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</si>
  <si>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</si>
  <si>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</si>
  <si>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</si>
  <si>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</si>
  <si>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</si>
  <si>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</si>
  <si>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</si>
  <si>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</si>
  <si>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</si>
  <si>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</si>
  <si>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</si>
  <si>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</si>
  <si>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</si>
  <si>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</si>
  <si>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</si>
  <si>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</si>
  <si>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</si>
  <si>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</si>
  <si>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</si>
  <si>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</si>
  <si>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</si>
  <si>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</si>
  <si>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</si>
  <si>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</si>
  <si>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</si>
  <si>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</si>
  <si>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</si>
  <si>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</si>
  <si>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</si>
  <si>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</si>
  <si>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</si>
  <si>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</si>
  <si>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</si>
  <si>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</si>
  <si>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</si>
  <si>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</si>
  <si>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</si>
  <si>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</si>
  <si>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</si>
  <si>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</si>
  <si>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</si>
  <si>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</si>
  <si>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</si>
  <si>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</si>
  <si>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</si>
  <si>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</si>
  <si>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</si>
  <si>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</si>
  <si>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</si>
  <si>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</si>
  <si>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</si>
  <si>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</si>
  <si>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</si>
  <si>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</si>
  <si>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</si>
  <si>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</si>
  <si>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peu 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</si>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</sst>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n">
        <v>9201</v>
      </c>
      <c r="O3" s="302"/>
      <c r="P3" s="302"/>
      <c r="Q3" s="303"/>
      <c r="R3" s="281"/>
      <c r="S3" s="281"/>
      <c r="T3" s="281"/>
      <c r="U3" s="281"/>
      <c r="V3" s="281"/>
      <c r="W3" s="295"/>
      <c r="X3" s="0"/>
      <c r="Y3" s="0"/>
      <c r="Z3" s="0"/>
    </row>
    <row r="4" customFormat="false" ht="13.5" hidden="false" customHeight="false" outlineLevel="0" collapsed="false">
      <c r="A4" s="304" t="s">
        <v>3381</v>
      </c>
      <c r="B4" s="305" t="s">
        <v>3382</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8.94594594594595</v>
      </c>
      <c r="N5" s="324"/>
      <c r="O5" s="325" t="s">
        <v>203</v>
      </c>
      <c r="P5" s="326" t="n">
        <v>9.3030303030303</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27</v>
      </c>
      <c r="C7" s="342" t="n">
        <v>73</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9.26315789473684</v>
      </c>
      <c r="P8" s="356" t="n">
        <f aca="false">IF(ISERROR(AVERAGE(K23:K82)),"  ",AVERAGE(K23:K82))</f>
        <v>1.57894736842105</v>
      </c>
      <c r="Q8" s="357"/>
      <c r="R8" s="281"/>
      <c r="S8" s="281"/>
      <c r="T8" s="281"/>
      <c r="U8" s="281"/>
      <c r="V8" s="281"/>
      <c r="W8" s="295"/>
      <c r="X8" s="0"/>
      <c r="Y8" s="0"/>
      <c r="Z8" s="0"/>
    </row>
    <row r="9" customFormat="false" ht="12.75" hidden="false" customHeight="false" outlineLevel="0" collapsed="false">
      <c r="A9" s="314" t="s">
        <v>3399</v>
      </c>
      <c r="B9" s="358" t="n">
        <v>35</v>
      </c>
      <c r="C9" s="359" t="n">
        <v>5</v>
      </c>
      <c r="D9" s="360"/>
      <c r="E9" s="360"/>
      <c r="F9" s="361" t="n">
        <f aca="false">($B9*$B$7+$C9*$C$7)/100</f>
        <v>13.1</v>
      </c>
      <c r="G9" s="362"/>
      <c r="H9" s="317"/>
      <c r="I9" s="281"/>
      <c r="J9" s="363"/>
      <c r="K9" s="364"/>
      <c r="L9" s="347"/>
      <c r="M9" s="365"/>
      <c r="N9" s="355" t="s">
        <v>3400</v>
      </c>
      <c r="O9" s="356" t="n">
        <f aca="false">IF(ISERROR(STDEVP(J23:J82))," ",STDEVP(J23:J82))</f>
        <v>2.97077174561476</v>
      </c>
      <c r="P9" s="356" t="n">
        <f aca="false">IF(ISERROR(STDEVP(K23:K82)),"  ",STDEVP(K23:K82))</f>
        <v>0.590788008437991</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15</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9</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25</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19</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16</v>
      </c>
      <c r="M15" s="381"/>
      <c r="N15" s="389" t="s">
        <v>3418</v>
      </c>
      <c r="O15" s="390" t="n">
        <f aca="false">COUNTIF(K23:K82,"=1")</f>
        <v>9</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9</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0.76</v>
      </c>
      <c r="N17" s="389" t="s">
        <v>3423</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37.042</v>
      </c>
      <c r="C20" s="433" t="n">
        <f aca="false">SUM(C23:C82)</f>
        <v>3.385</v>
      </c>
      <c r="D20" s="434"/>
      <c r="E20" s="435" t="s">
        <v>3425</v>
      </c>
      <c r="F20" s="436" t="n">
        <f aca="false">($B20*$B$7+$C20*$C$7)/100</f>
        <v>12.47239</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10.00134</v>
      </c>
      <c r="C21" s="444" t="n">
        <f aca="false">C20*C7/100</f>
        <v>2.47105</v>
      </c>
      <c r="D21" s="445" t="s">
        <v>3428</v>
      </c>
      <c r="E21" s="446"/>
      <c r="F21" s="447" t="n">
        <f aca="false">B21+C21</f>
        <v>12.47239</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134</v>
      </c>
      <c r="B23" s="472" t="n">
        <v>5</v>
      </c>
      <c r="C23" s="473" t="n">
        <v>2</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2.81</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2.81</v>
      </c>
      <c r="S23" s="485" t="n">
        <f aca="false">IF(OR(ISTEXT(H23),R23=0),"",IF(R23&lt;0.1,1,IF(R23&lt;1,2,IF(R23&lt;10,3,IF(R23&lt;50,4,IF(R23&gt;=50,5,""))))))</f>
        <v>3</v>
      </c>
      <c r="T23" s="485" t="n">
        <f aca="false">IF(ISERROR(S23*J23),0,S23*J23)</f>
        <v>18</v>
      </c>
      <c r="U23" s="485" t="n">
        <f aca="false">IF(ISERROR(S23*J23*K23),0,S23*J23*K23)</f>
        <v>18</v>
      </c>
      <c r="V23" s="485" t="n">
        <f aca="false">IF(ISERROR(S23*K23),0,S23*K23)</f>
        <v>3</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195</v>
      </c>
      <c r="B24" s="490" t="n">
        <v>0.007</v>
      </c>
      <c r="C24" s="491"/>
      <c r="D24" s="492" t="str">
        <f aca="false">IF(ISERROR(VLOOKUP($A24,'liste reference'!$A$6:$B$1174,2,0)),IF(ISERROR(VLOOKUP($A24,'liste reference'!$B$6:$B$1174,1,0)),"",VLOOKUP($A24,'liste reference'!$B$6:$B$1174,1,0)),VLOOKUP($A24,'liste reference'!$A$6:$B$1174,2,0))</f>
        <v>Hildenbrandia sp.</v>
      </c>
      <c r="E24" s="493" t="e">
        <f aca="false">IF(D24="",0,VLOOKUP(D24,D$22:D23,1,0))</f>
        <v>#N/A</v>
      </c>
      <c r="F24" s="494" t="n">
        <f aca="false">IF(AND(OR(A24="",A24="!!!!!!"),B24="",C24=""),"",IF(OR(AND(B24="",C24=""),ISERROR(C24+B24)),"!!!",($B24*$B$7+$C24*$C$7)/100))</f>
        <v>0.00189</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15</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Hildenbrandia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1157</v>
      </c>
      <c r="R24" s="484" t="n">
        <f aca="false">IF(ISTEXT(H24),"",(B24*$B$7/100)+(C24*$C$7/100))</f>
        <v>0.00189</v>
      </c>
      <c r="S24" s="485" t="n">
        <f aca="false">IF(OR(ISTEXT(H24),R24=0),"",IF(R24&lt;0.1,1,IF(R24&lt;1,2,IF(R24&lt;10,3,IF(R24&lt;50,4,IF(R24&gt;=50,5,""))))))</f>
        <v>1</v>
      </c>
      <c r="T24" s="485" t="n">
        <f aca="false">IF(ISERROR(S24*J24),0,S24*J24)</f>
        <v>15</v>
      </c>
      <c r="U24" s="485" t="n">
        <f aca="false">IF(ISERROR(S24*J24*K24),0,S24*J24*K24)</f>
        <v>30</v>
      </c>
      <c r="V24" s="501" t="n">
        <f aca="false">IF(ISERROR(S24*K24),0,S24*K24)</f>
        <v>2</v>
      </c>
      <c r="W24" s="502"/>
      <c r="X24" s="503"/>
      <c r="Y24" s="488" t="str">
        <f aca="false">IF(AND(ISNUMBER(F24),OR(A24="",A24="!!!!!!")),"!!!!!!",IF(A24="new.cod","NEWCOD",IF(AND((Z24=""),ISTEXT(A24),A24&lt;&gt;"!!!!!!"),A24,IF(Z24="","",INDEX('liste reference'!$A$6:$A$1174,Z24)))))</f>
        <v>HILSPX</v>
      </c>
      <c r="Z24" s="470" t="n">
        <f aca="false">IF(ISERROR(MATCH(A24,'liste reference'!$A$6:$A$1174,0)),IF(ISERROR(MATCH(A24,'liste reference'!$B$6:$B$1174,0)),"",(MATCH(A24,'liste reference'!$B$6:$B$1174,0))),(MATCH(A24,'liste reference'!$A$6:$A$1174,0)))</f>
        <v>53</v>
      </c>
    </row>
    <row r="25" customFormat="false" ht="12.75" hidden="false" customHeight="false" outlineLevel="0" collapsed="false">
      <c r="A25" s="489" t="s">
        <v>203</v>
      </c>
      <c r="B25" s="490" t="n">
        <v>0.75</v>
      </c>
      <c r="C25" s="491" t="n">
        <v>0.25</v>
      </c>
      <c r="D25" s="492" t="str">
        <f aca="false">IF(ISERROR(VLOOKUP($A25,'liste reference'!$A$6:$B$1174,2,0)),IF(ISERROR(VLOOKUP($A25,'liste reference'!$B$6:$B$1174,1,0)),"",VLOOKUP($A25,'liste reference'!$B$6:$B$1174,1,0)),VLOOKUP($A25,'liste reference'!$A$6:$B$1174,2,0))</f>
        <v>Hydrodictyon sp.</v>
      </c>
      <c r="E25" s="493" t="e">
        <f aca="false">IF(D25="",0,VLOOKUP(D25,D$22:D24,1,0))</f>
        <v>#N/A</v>
      </c>
      <c r="F25" s="494" t="n">
        <f aca="false">IF(AND(OR(A25="",A25="!!!!!!"),B25="",C25=""),"",IF(OR(AND(B25="",C25=""),ISERROR(C25+B25)),"!!!",($B25*$B$7+$C25*$C$7)/100))</f>
        <v>0.385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6</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Hydrodictyon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5686</v>
      </c>
      <c r="R25" s="484" t="n">
        <f aca="false">IF(ISTEXT(H25),"",(B25*$B$7/100)+(C25*$C$7/100))</f>
        <v>0.385</v>
      </c>
      <c r="S25" s="485" t="n">
        <f aca="false">IF(OR(ISTEXT(H25),R25=0),"",IF(R25&lt;0.1,1,IF(R25&lt;1,2,IF(R25&lt;10,3,IF(R25&lt;50,4,IF(R25&gt;=50,5,""))))))</f>
        <v>2</v>
      </c>
      <c r="T25" s="485" t="n">
        <f aca="false">IF(ISERROR(S25*J25),0,S25*J25)</f>
        <v>12</v>
      </c>
      <c r="U25" s="485" t="n">
        <f aca="false">IF(ISERROR(S25*J25*K25),0,S25*J25*K25)</f>
        <v>24</v>
      </c>
      <c r="V25" s="501" t="n">
        <f aca="false">IF(ISERROR(S25*K25),0,S25*K25)</f>
        <v>4</v>
      </c>
      <c r="W25" s="502"/>
      <c r="X25" s="503"/>
      <c r="Y25" s="488" t="str">
        <f aca="false">IF(AND(ISNUMBER(F25),OR(A25="",A25="!!!!!!")),"!!!!!!",IF(A25="new.cod","NEWCOD",IF(AND((Z25=""),ISTEXT(A25),A25&lt;&gt;"!!!!!!"),A25,IF(Z25="","",INDEX('liste reference'!$A$6:$A$1174,Z25)))))</f>
        <v>HYISPX</v>
      </c>
      <c r="Z25" s="470" t="n">
        <f aca="false">IF(ISERROR(MATCH(A25,'liste reference'!$A$6:$A$1174,0)),IF(ISERROR(MATCH(A25,'liste reference'!$B$6:$B$1174,0)),"",(MATCH(A25,'liste reference'!$B$6:$B$1174,0))),(MATCH(A25,'liste reference'!$A$6:$A$1174,0)))</f>
        <v>55</v>
      </c>
    </row>
    <row r="26" customFormat="false" ht="12.75" hidden="false" customHeight="false" outlineLevel="0" collapsed="false">
      <c r="A26" s="489" t="s">
        <v>300</v>
      </c>
      <c r="B26" s="490" t="n">
        <v>0.005</v>
      </c>
      <c r="C26" s="491" t="n">
        <v>0.005</v>
      </c>
      <c r="D26" s="492" t="str">
        <f aca="false">IF(ISERROR(VLOOKUP($A26,'liste reference'!$A$6:$B$1174,2,0)),IF(ISERROR(VLOOKUP($A26,'liste reference'!$B$6:$B$1174,1,0)),"",VLOOKUP($A26,'liste reference'!$B$6:$B$1174,1,0)),VLOOKUP($A26,'liste reference'!$A$6:$B$1174,2,0))</f>
        <v>Oedogonium sp.</v>
      </c>
      <c r="E26" s="493" t="e">
        <f aca="false">IF(D26="",0,VLOOKUP(D26,D$22:D25,1,0))</f>
        <v>#N/A</v>
      </c>
      <c r="F26" s="494" t="n">
        <f aca="false">IF(AND(OR(A26="",A26="!!!!!!"),B26="",C26=""),"",IF(OR(AND(B26="",C26=""),ISERROR(C26+B26)),"!!!",($B26*$B$7+$C26*$C$7)/100))</f>
        <v>0.005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6</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Oedogonium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1134</v>
      </c>
      <c r="R26" s="484" t="n">
        <f aca="false">IF(ISTEXT(H26),"",(B26*$B$7/100)+(C26*$C$7/100))</f>
        <v>0.005</v>
      </c>
      <c r="S26" s="485" t="n">
        <f aca="false">IF(OR(ISTEXT(H26),R26=0),"",IF(R26&lt;0.1,1,IF(R26&lt;1,2,IF(R26&lt;10,3,IF(R26&lt;50,4,IF(R26&gt;=50,5,""))))))</f>
        <v>1</v>
      </c>
      <c r="T26" s="485" t="n">
        <f aca="false">IF(ISERROR(S26*J26),0,S26*J26)</f>
        <v>6</v>
      </c>
      <c r="U26" s="485" t="n">
        <f aca="false">IF(ISERROR(S26*J26*K26),0,S26*J26*K26)</f>
        <v>12</v>
      </c>
      <c r="V26" s="501" t="n">
        <f aca="false">IF(ISERROR(S26*K26),0,S26*K26)</f>
        <v>2</v>
      </c>
      <c r="W26" s="502"/>
      <c r="X26" s="503"/>
      <c r="Y26" s="488" t="str">
        <f aca="false">IF(AND(ISNUMBER(F26),OR(A26="",A26="!!!!!!")),"!!!!!!",IF(A26="new.cod","NEWCOD",IF(AND((Z26=""),ISTEXT(A26),A26&lt;&gt;"!!!!!!"),A26,IF(Z26="","",INDEX('liste reference'!$A$6:$A$1174,Z26)))))</f>
        <v>OEDSPX</v>
      </c>
      <c r="Z26" s="470" t="n">
        <f aca="false">IF(ISERROR(MATCH(A26,'liste reference'!$A$6:$A$1174,0)),IF(ISERROR(MATCH(A26,'liste reference'!$B$6:$B$1174,0)),"",(MATCH(A26,'liste reference'!$B$6:$B$1174,0))),(MATCH(A26,'liste reference'!$A$6:$A$1174,0)))</f>
        <v>85</v>
      </c>
    </row>
    <row r="27" customFormat="false" ht="12.75" hidden="false" customHeight="false" outlineLevel="0" collapsed="false">
      <c r="A27" s="489" t="s">
        <v>309</v>
      </c>
      <c r="B27" s="490" t="n">
        <v>0.01</v>
      </c>
      <c r="C27" s="491" t="n">
        <v>0.01</v>
      </c>
      <c r="D27" s="492" t="str">
        <f aca="false">IF(ISERROR(VLOOKUP($A27,'liste reference'!$A$6:$B$1174,2,0)),IF(ISERROR(VLOOKUP($A27,'liste reference'!$B$6:$B$1174,1,0)),"",VLOOKUP($A27,'liste reference'!$B$6:$B$1174,1,0)),VLOOKUP($A27,'liste reference'!$A$6:$B$1174,2,0))</f>
        <v>Phormidium sp.</v>
      </c>
      <c r="E27" s="493" t="e">
        <f aca="false">IF(D27="",0,VLOOKUP(D27,D$22:D26,1,0))</f>
        <v>#N/A</v>
      </c>
      <c r="F27" s="494" t="n">
        <f aca="false">IF(AND(OR(A27="",A27="!!!!!!"),B27="",C27=""),"",IF(OR(AND(B27="",C27=""),ISERROR(C27+B27)),"!!!",($B27*$B$7+$C27*$C$7)/100))</f>
        <v>0.01</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13</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Phormidium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6414</v>
      </c>
      <c r="R27" s="484" t="n">
        <f aca="false">IF(ISTEXT(H27),"",(B27*$B$7/100)+(C27*$C$7/100))</f>
        <v>0.01</v>
      </c>
      <c r="S27" s="485" t="n">
        <f aca="false">IF(OR(ISTEXT(H27),R27=0),"",IF(R27&lt;0.1,1,IF(R27&lt;1,2,IF(R27&lt;10,3,IF(R27&lt;50,4,IF(R27&gt;=50,5,""))))))</f>
        <v>1</v>
      </c>
      <c r="T27" s="485" t="n">
        <f aca="false">IF(ISERROR(S27*J27),0,S27*J27)</f>
        <v>13</v>
      </c>
      <c r="U27" s="485" t="n">
        <f aca="false">IF(ISERROR(S27*J27*K27),0,S27*J27*K27)</f>
        <v>26</v>
      </c>
      <c r="V27" s="501" t="n">
        <f aca="false">IF(ISERROR(S27*K27),0,S27*K27)</f>
        <v>2</v>
      </c>
      <c r="W27" s="502"/>
      <c r="X27" s="503"/>
      <c r="Y27" s="488" t="str">
        <f aca="false">IF(AND(ISNUMBER(F27),OR(A27="",A27="!!!!!!")),"!!!!!!",IF(A27="new.cod","NEWCOD",IF(AND((Z27=""),ISTEXT(A27),A27&lt;&gt;"!!!!!!"),A27,IF(Z27="","",INDEX('liste reference'!$A$6:$A$1174,Z27)))))</f>
        <v>PHOSPX</v>
      </c>
      <c r="Z27" s="470" t="n">
        <f aca="false">IF(ISERROR(MATCH(A27,'liste reference'!$A$6:$A$1174,0)),IF(ISERROR(MATCH(A27,'liste reference'!$B$6:$B$1174,0)),"",(MATCH(A27,'liste reference'!$B$6:$B$1174,0))),(MATCH(A27,'liste reference'!$A$6:$A$1174,0)))</f>
        <v>88</v>
      </c>
    </row>
    <row r="28" customFormat="false" ht="12.75" hidden="false" customHeight="false" outlineLevel="0" collapsed="false">
      <c r="A28" s="489" t="s">
        <v>343</v>
      </c>
      <c r="B28" s="490" t="n">
        <v>0.005</v>
      </c>
      <c r="C28" s="491" t="n">
        <v>0.25</v>
      </c>
      <c r="D28" s="492" t="str">
        <f aca="false">IF(ISERROR(VLOOKUP($A28,'liste reference'!$A$6:$B$1174,2,0)),IF(ISERROR(VLOOKUP($A28,'liste reference'!$B$6:$B$1174,1,0)),"",VLOOKUP($A28,'liste reference'!$B$6:$B$1174,1,0)),VLOOKUP($A28,'liste reference'!$A$6:$B$1174,2,0))</f>
        <v>Spirogyra sp.</v>
      </c>
      <c r="E28" s="493" t="e">
        <f aca="false">IF(D28="",0,VLOOKUP(D28,D$22:D27,1,0))</f>
        <v>#N/A</v>
      </c>
      <c r="F28" s="494" t="n">
        <f aca="false">IF(AND(OR(A28="",A28="!!!!!!"),B28="",C28=""),"",IF(OR(AND(B28="",C28=""),ISERROR(C28+B28)),"!!!",($B28*$B$7+$C28*$C$7)/100))</f>
        <v>0.18385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10</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Spirogyra sp.</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1147</v>
      </c>
      <c r="R28" s="484" t="n">
        <f aca="false">IF(ISTEXT(H28),"",(B28*$B$7/100)+(C28*$C$7/100))</f>
        <v>0.18385</v>
      </c>
      <c r="S28" s="485" t="n">
        <f aca="false">IF(OR(ISTEXT(H28),R28=0),"",IF(R28&lt;0.1,1,IF(R28&lt;1,2,IF(R28&lt;10,3,IF(R28&lt;50,4,IF(R28&gt;=50,5,""))))))</f>
        <v>2</v>
      </c>
      <c r="T28" s="485" t="n">
        <f aca="false">IF(ISERROR(S28*J28),0,S28*J28)</f>
        <v>20</v>
      </c>
      <c r="U28" s="485" t="n">
        <f aca="false">IF(ISERROR(S28*J28*K28),0,S28*J28*K28)</f>
        <v>20</v>
      </c>
      <c r="V28" s="501" t="n">
        <f aca="false">IF(ISERROR(S28*K28),0,S28*K28)</f>
        <v>2</v>
      </c>
      <c r="W28" s="502"/>
      <c r="X28" s="503"/>
      <c r="Y28" s="488" t="str">
        <f aca="false">IF(AND(ISNUMBER(F28),OR(A28="",A28="!!!!!!")),"!!!!!!",IF(A28="new.cod","NEWCOD",IF(AND((Z28=""),ISTEXT(A28),A28&lt;&gt;"!!!!!!"),A28,IF(Z28="","",INDEX('liste reference'!$A$6:$A$1174,Z28)))))</f>
        <v>SPISPX</v>
      </c>
      <c r="Z28" s="470" t="n">
        <f aca="false">IF(ISERROR(MATCH(A28,'liste reference'!$A$6:$A$1174,0)),IF(ISERROR(MATCH(A28,'liste reference'!$B$6:$B$1174,0)),"",(MATCH(A28,'liste reference'!$B$6:$B$1174,0))),(MATCH(A28,'liste reference'!$A$6:$A$1174,0)))</f>
        <v>102</v>
      </c>
    </row>
    <row r="29" customFormat="false" ht="12.75" hidden="false" customHeight="false" outlineLevel="0" collapsed="false">
      <c r="A29" s="489" t="s">
        <v>348</v>
      </c>
      <c r="B29" s="490" t="n">
        <v>0.005</v>
      </c>
      <c r="C29" s="491" t="n">
        <v>0.005</v>
      </c>
      <c r="D29" s="492" t="str">
        <f aca="false">IF(ISERROR(VLOOKUP($A29,'liste reference'!$A$6:$B$1174,2,0)),IF(ISERROR(VLOOKUP($A29,'liste reference'!$B$6:$B$1174,1,0)),"",VLOOKUP($A29,'liste reference'!$B$6:$B$1174,1,0)),VLOOKUP($A29,'liste reference'!$A$6:$B$1174,2,0))</f>
        <v>Stigeoclonium sp. (excep. S. tenue)</v>
      </c>
      <c r="E29" s="493" t="e">
        <f aca="false">IF(D29="",0,VLOOKUP(D29,D$22:D28,1,0))</f>
        <v>#N/A</v>
      </c>
      <c r="F29" s="494" t="n">
        <f aca="false">IF(AND(OR(A29="",A29="!!!!!!"),B29="",C29=""),"",IF(OR(AND(B29="",C29=""),ISERROR(C29+B29)),"!!!",($B29*$B$7+$C29*$C$7)/100))</f>
        <v>0.005</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13</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Stigeoclonium sp. (excep. S. tenue)</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1119</v>
      </c>
      <c r="R29" s="484" t="n">
        <f aca="false">IF(ISTEXT(H29),"",(B29*$B$7/100)+(C29*$C$7/100))</f>
        <v>0.005</v>
      </c>
      <c r="S29" s="485" t="n">
        <f aca="false">IF(OR(ISTEXT(H29),R29=0),"",IF(R29&lt;0.1,1,IF(R29&lt;1,2,IF(R29&lt;10,3,IF(R29&lt;50,4,IF(R29&gt;=50,5,""))))))</f>
        <v>1</v>
      </c>
      <c r="T29" s="485" t="n">
        <f aca="false">IF(ISERROR(S29*J29),0,S29*J29)</f>
        <v>13</v>
      </c>
      <c r="U29" s="485" t="n">
        <f aca="false">IF(ISERROR(S29*J29*K29),0,S29*J29*K29)</f>
        <v>26</v>
      </c>
      <c r="V29" s="501" t="n">
        <f aca="false">IF(ISERROR(S29*K29),0,S29*K29)</f>
        <v>2</v>
      </c>
      <c r="W29" s="502"/>
      <c r="X29" s="503"/>
      <c r="Y29" s="488" t="str">
        <f aca="false">IF(AND(ISNUMBER(F29),OR(A29="",A29="!!!!!!")),"!!!!!!",IF(A29="new.cod","NEWCOD",IF(AND((Z29=""),ISTEXT(A29),A29&lt;&gt;"!!!!!!"),A29,IF(Z29="","",INDEX('liste reference'!$A$6:$A$1174,Z29)))))</f>
        <v>STISPX</v>
      </c>
      <c r="Z29" s="470" t="n">
        <f aca="false">IF(ISERROR(MATCH(A29,'liste reference'!$A$6:$A$1174,0)),IF(ISERROR(MATCH(A29,'liste reference'!$B$6:$B$1174,0)),"",(MATCH(A29,'liste reference'!$B$6:$B$1174,0))),(MATCH(A29,'liste reference'!$A$6:$A$1174,0)))</f>
        <v>104</v>
      </c>
    </row>
    <row r="30" customFormat="false" ht="12.75" hidden="false" customHeight="false" outlineLevel="0" collapsed="false">
      <c r="A30" s="489" t="s">
        <v>355</v>
      </c>
      <c r="B30" s="490" t="n">
        <v>0.3</v>
      </c>
      <c r="C30" s="491" t="n">
        <v>0.005</v>
      </c>
      <c r="D30" s="492" t="str">
        <f aca="false">IF(ISERROR(VLOOKUP($A30,'liste reference'!$A$6:$B$1174,2,0)),IF(ISERROR(VLOOKUP($A30,'liste reference'!$B$6:$B$1174,1,0)),"",VLOOKUP($A30,'liste reference'!$B$6:$B$1174,1,0)),VLOOKUP($A30,'liste reference'!$A$6:$B$1174,2,0))</f>
        <v>Tetraspora sp.</v>
      </c>
      <c r="E30" s="493" t="e">
        <f aca="false">IF(D30="",0,VLOOKUP(D30,D$22:D29,1,0))</f>
        <v>#N/A</v>
      </c>
      <c r="F30" s="494" t="n">
        <f aca="false">IF(AND(OR(A30="",A30="!!!!!!"),B30="",C30=""),"",IF(OR(AND(B30="",C30=""),ISERROR(C30+B30)),"!!!",($B30*$B$7+$C30*$C$7)/100))</f>
        <v>0.08465</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12</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Tetraspora sp.</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1138</v>
      </c>
      <c r="R30" s="484" t="n">
        <f aca="false">IF(ISTEXT(H30),"",(B30*$B$7/100)+(C30*$C$7/100))</f>
        <v>0.08465</v>
      </c>
      <c r="S30" s="485" t="n">
        <f aca="false">IF(OR(ISTEXT(H30),R30=0),"",IF(R30&lt;0.1,1,IF(R30&lt;1,2,IF(R30&lt;10,3,IF(R30&lt;50,4,IF(R30&gt;=50,5,""))))))</f>
        <v>1</v>
      </c>
      <c r="T30" s="485" t="n">
        <f aca="false">IF(ISERROR(S30*J30),0,S30*J30)</f>
        <v>12</v>
      </c>
      <c r="U30" s="485" t="n">
        <f aca="false">IF(ISERROR(S30*J30*K30),0,S30*J30*K30)</f>
        <v>12</v>
      </c>
      <c r="V30" s="501" t="n">
        <f aca="false">IF(ISERROR(S30*K30),0,S30*K30)</f>
        <v>1</v>
      </c>
      <c r="W30" s="502"/>
      <c r="X30" s="503"/>
      <c r="Y30" s="488" t="str">
        <f aca="false">IF(AND(ISNUMBER(F30),OR(A30="",A30="!!!!!!")),"!!!!!!",IF(A30="new.cod","NEWCOD",IF(AND((Z30=""),ISTEXT(A30),A30&lt;&gt;"!!!!!!"),A30,IF(Z30="","",INDEX('liste reference'!$A$6:$A$1174,Z30)))))</f>
        <v>TETSPX</v>
      </c>
      <c r="Z30" s="470" t="n">
        <f aca="false">IF(ISERROR(MATCH(A30,'liste reference'!$A$6:$A$1174,0)),IF(ISERROR(MATCH(A30,'liste reference'!$B$6:$B$1174,0)),"",(MATCH(A30,'liste reference'!$B$6:$B$1174,0))),(MATCH(A30,'liste reference'!$A$6:$A$1174,0)))</f>
        <v>107</v>
      </c>
    </row>
    <row r="31" customFormat="false" ht="12.75" hidden="false" customHeight="false" outlineLevel="0" collapsed="false">
      <c r="A31" s="489" t="s">
        <v>395</v>
      </c>
      <c r="B31" s="490" t="n">
        <v>0.005</v>
      </c>
      <c r="C31" s="491" t="n">
        <v>0.005</v>
      </c>
      <c r="D31" s="492" t="str">
        <f aca="false">IF(ISERROR(VLOOKUP($A31,'liste reference'!$A$6:$B$1174,2,0)),IF(ISERROR(VLOOKUP($A31,'liste reference'!$B$6:$B$1174,1,0)),"",VLOOKUP($A31,'liste reference'!$B$6:$B$1174,1,0)),VLOOKUP($A31,'liste reference'!$A$6:$B$1174,2,0))</f>
        <v>Vaucheria sp.</v>
      </c>
      <c r="E31" s="493" t="e">
        <f aca="false">IF(D31="",0,VLOOKUP(D31,D$22:D30,1,0))</f>
        <v>#N/A</v>
      </c>
      <c r="F31" s="494" t="n">
        <f aca="false">IF(AND(OR(A31="",A31="!!!!!!"),B31="",C31=""),"",IF(OR(AND(B31="",C31=""),ISERROR(C31+B31)),"!!!",($B31*$B$7+$C31*$C$7)/100))</f>
        <v>0.005</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n">
        <f aca="false">IF(ISNUMBER($H31),IF(ISERROR(VLOOKUP($A31,'liste reference'!$A$6:$Q$1174,6,0)),IF(ISERROR(VLOOKUP($A31,'liste reference'!$B$6:$Q$1174,5,0)),"nu",VLOOKUP($A31,'liste reference'!$B$6:$Q$1174,5,0)),VLOOKUP($A31,'liste reference'!$A$6:$Q$1174,6,0)),"nu")</f>
        <v>4</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Vaucheria sp.</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1169</v>
      </c>
      <c r="R31" s="484" t="n">
        <f aca="false">IF(ISTEXT(H31),"",(B31*$B$7/100)+(C31*$C$7/100))</f>
        <v>0.005</v>
      </c>
      <c r="S31" s="485" t="n">
        <f aca="false">IF(OR(ISTEXT(H31),R31=0),"",IF(R31&lt;0.1,1,IF(R31&lt;1,2,IF(R31&lt;10,3,IF(R31&lt;50,4,IF(R31&gt;=50,5,""))))))</f>
        <v>1</v>
      </c>
      <c r="T31" s="485" t="n">
        <f aca="false">IF(ISERROR(S31*J31),0,S31*J31)</f>
        <v>4</v>
      </c>
      <c r="U31" s="485" t="n">
        <f aca="false">IF(ISERROR(S31*J31*K31),0,S31*J31*K31)</f>
        <v>4</v>
      </c>
      <c r="V31" s="501" t="n">
        <f aca="false">IF(ISERROR(S31*K31),0,S31*K31)</f>
        <v>1</v>
      </c>
      <c r="W31" s="502"/>
      <c r="X31" s="503"/>
      <c r="Y31" s="488" t="str">
        <f aca="false">IF(AND(ISNUMBER(F31),OR(A31="",A31="!!!!!!")),"!!!!!!",IF(A31="new.cod","NEWCOD",IF(AND((Z31=""),ISTEXT(A31),A31&lt;&gt;"!!!!!!"),A31,IF(Z31="","",INDEX('liste reference'!$A$6:$A$1174,Z31)))))</f>
        <v>VAUSPX</v>
      </c>
      <c r="Z31" s="470" t="n">
        <f aca="false">IF(ISERROR(MATCH(A31,'liste reference'!$A$6:$A$1174,0)),IF(ISERROR(MATCH(A31,'liste reference'!$B$6:$B$1174,0)),"",(MATCH(A31,'liste reference'!$B$6:$B$1174,0))),(MATCH(A31,'liste reference'!$A$6:$A$1174,0)))</f>
        <v>118</v>
      </c>
    </row>
    <row r="32" customFormat="false" ht="12.75" hidden="false" customHeight="false" outlineLevel="0" collapsed="false">
      <c r="A32" s="489" t="s">
        <v>1401</v>
      </c>
      <c r="B32" s="490"/>
      <c r="C32" s="491" t="n">
        <v>0.005</v>
      </c>
      <c r="D32" s="492" t="str">
        <f aca="false">IF(ISERROR(VLOOKUP($A32,'liste reference'!$A$6:$B$1174,2,0)),IF(ISERROR(VLOOKUP($A32,'liste reference'!$B$6:$B$1174,1,0)),"",VLOOKUP($A32,'liste reference'!$B$6:$B$1174,1,0)),VLOOKUP($A32,'liste reference'!$A$6:$B$1174,2,0))</f>
        <v>Callitriche obtusangula</v>
      </c>
      <c r="E32" s="493" t="e">
        <f aca="false">IF(D32="",0,VLOOKUP(D32,D$22:D31,1,0))</f>
        <v>#N/A</v>
      </c>
      <c r="F32" s="494" t="n">
        <f aca="false">IF(AND(OR(A32="",A32="!!!!!!"),B32="",C32=""),"",IF(OR(AND(B32="",C32=""),ISERROR(C32+B32)),"!!!",($B32*$B$7+$C32*$C$7)/100))</f>
        <v>0.00365</v>
      </c>
      <c r="G32" s="495" t="str">
        <f aca="false">IF(A32="","",IF(ISERROR(VLOOKUP($A32,'liste reference'!$A$6:$Q$1174,9,0)),IF(ISERROR(VLOOKUP($A32,'liste reference'!$B$6:$Q$1174,8,0)),"    -",VLOOKUP($A32,'liste reference'!$B$6:$Q$1174,8,0)),VLOOKUP($A32,'liste reference'!$A$6:$Q$1174,9,0)))</f>
        <v>PHy</v>
      </c>
      <c r="H32" s="496" t="n">
        <f aca="false">IF(A32="","x",IF(ISERROR(VLOOKUP($A32,'liste reference'!$A$6:$Q$1174,10,0)),IF(ISERROR(VLOOKUP($A32,'liste reference'!$B$6:$Q$1174,9,0)),"x",VLOOKUP($A32,'liste reference'!$B$6:$Q$1174,9,0)),VLOOKUP($A32,'liste reference'!$A$6:$Q$1174,10,0)))</f>
        <v>7</v>
      </c>
      <c r="I32" s="281" t="n">
        <f aca="false">IF(A32="","",1)</f>
        <v>1</v>
      </c>
      <c r="J32" s="497" t="n">
        <f aca="false">IF(ISNUMBER($H32),IF(ISERROR(VLOOKUP($A32,'liste reference'!$A$6:$Q$1174,6,0)),IF(ISERROR(VLOOKUP($A32,'liste reference'!$B$6:$Q$1174,5,0)),"nu",VLOOKUP($A32,'liste reference'!$B$6:$Q$1174,5,0)),VLOOKUP($A32,'liste reference'!$A$6:$Q$1174,6,0)),"nu")</f>
        <v>8</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Callitriche obtusangula</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1700</v>
      </c>
      <c r="R32" s="484" t="n">
        <f aca="false">IF(ISTEXT(H32),"",(B32*$B$7/100)+(C32*$C$7/100))</f>
        <v>0.00365</v>
      </c>
      <c r="S32" s="485" t="n">
        <f aca="false">IF(OR(ISTEXT(H32),R32=0),"",IF(R32&lt;0.1,1,IF(R32&lt;1,2,IF(R32&lt;10,3,IF(R32&lt;50,4,IF(R32&gt;=50,5,""))))))</f>
        <v>1</v>
      </c>
      <c r="T32" s="485" t="n">
        <f aca="false">IF(ISERROR(S32*J32),0,S32*J32)</f>
        <v>8</v>
      </c>
      <c r="U32" s="485" t="n">
        <f aca="false">IF(ISERROR(S32*J32*K32),0,S32*J32*K32)</f>
        <v>16</v>
      </c>
      <c r="V32" s="501" t="n">
        <f aca="false">IF(ISERROR(S32*K32),0,S32*K32)</f>
        <v>2</v>
      </c>
      <c r="W32" s="502"/>
      <c r="X32" s="503"/>
      <c r="Y32" s="488" t="str">
        <f aca="false">IF(AND(ISNUMBER(F32),OR(A32="",A32="!!!!!!")),"!!!!!!",IF(A32="new.cod","NEWCOD",IF(AND((Z32=""),ISTEXT(A32),A32&lt;&gt;"!!!!!!"),A32,IF(Z32="","",INDEX('liste reference'!$A$6:$A$1174,Z32)))))</f>
        <v>CALOBT</v>
      </c>
      <c r="Z32" s="470" t="n">
        <f aca="false">IF(ISERROR(MATCH(A32,'liste reference'!$A$6:$A$1174,0)),IF(ISERROR(MATCH(A32,'liste reference'!$B$6:$B$1174,0)),"",(MATCH(A32,'liste reference'!$B$6:$B$1174,0))),(MATCH(A32,'liste reference'!$A$6:$A$1174,0)))</f>
        <v>436</v>
      </c>
    </row>
    <row r="33" customFormat="false" ht="12.75" hidden="false" customHeight="false" outlineLevel="0" collapsed="false">
      <c r="A33" s="489" t="s">
        <v>1414</v>
      </c>
      <c r="B33" s="490" t="n">
        <v>0.005</v>
      </c>
      <c r="C33" s="491"/>
      <c r="D33" s="492" t="str">
        <f aca="false">IF(ISERROR(VLOOKUP($A33,'liste reference'!$A$6:$B$1174,2,0)),IF(ISERROR(VLOOKUP($A33,'liste reference'!$B$6:$B$1174,1,0)),"",VLOOKUP($A33,'liste reference'!$B$6:$B$1174,1,0)),VLOOKUP($A33,'liste reference'!$A$6:$B$1174,2,0))</f>
        <v>Callitriche sp.</v>
      </c>
      <c r="E33" s="493" t="e">
        <f aca="false">IF(D33="",0,VLOOKUP(D33,D$22:D32,1,0))</f>
        <v>#N/A</v>
      </c>
      <c r="F33" s="494" t="n">
        <f aca="false">IF(AND(OR(A33="",A33="!!!!!!"),B33="",C33=""),"",IF(OR(AND(B33="",C33=""),ISERROR(C33+B33)),"!!!",($B33*$B$7+$C33*$C$7)/100))</f>
        <v>0.00135</v>
      </c>
      <c r="G33" s="495" t="str">
        <f aca="false">IF(A33="","",IF(ISERROR(VLOOKUP($A33,'liste reference'!$A$6:$Q$1174,9,0)),IF(ISERROR(VLOOKUP($A33,'liste reference'!$B$6:$Q$1174,8,0)),"    -",VLOOKUP($A33,'liste reference'!$B$6:$Q$1174,8,0)),VLOOKUP($A33,'liste reference'!$A$6:$Q$1174,9,0)))</f>
        <v>PHy</v>
      </c>
      <c r="H33" s="496" t="n">
        <f aca="false">IF(A33="","x",IF(ISERROR(VLOOKUP($A33,'liste reference'!$A$6:$Q$1174,10,0)),IF(ISERROR(VLOOKUP($A33,'liste reference'!$B$6:$Q$1174,9,0)),"x",VLOOKUP($A33,'liste reference'!$B$6:$Q$1174,9,0)),VLOOKUP($A33,'liste reference'!$A$6:$Q$1174,10,0)))</f>
        <v>7</v>
      </c>
      <c r="I33" s="281" t="n">
        <f aca="false">IF(A33="","",1)</f>
        <v>1</v>
      </c>
      <c r="J33" s="497" t="str">
        <f aca="false">IF(ISNUMBER($H33),IF(ISERROR(VLOOKUP($A33,'liste reference'!$A$6:$Q$1174,6,0)),IF(ISERROR(VLOOKUP($A33,'liste reference'!$B$6:$Q$1174,5,0)),"nu",VLOOKUP($A33,'liste reference'!$B$6:$Q$1174,5,0)),VLOOKUP($A33,'liste reference'!$A$6:$Q$1174,6,0)),"nu")</f>
        <v>nc</v>
      </c>
      <c r="K33" s="497" t="str">
        <f aca="false">IF(ISNUMBER($H33),IF(ISERROR(VLOOKUP($A33,'liste reference'!$A$6:$Q$1174,7,0)),IF(ISERROR(VLOOKUP($A33,'liste reference'!$B$6:$Q$1174,6,0)),"nu",VLOOKUP($A33,'liste reference'!$B$6:$Q$1174,6,0)),VLOOKUP($A33,'liste reference'!$A$6:$Q$1174,7,0)),"nu")</f>
        <v>nc</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Callitriche sp.</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1696</v>
      </c>
      <c r="R33" s="484" t="n">
        <f aca="false">IF(ISTEXT(H33),"",(B33*$B$7/100)+(C33*$C$7/100))</f>
        <v>0.00135</v>
      </c>
      <c r="S33" s="485" t="n">
        <f aca="false">IF(OR(ISTEXT(H33),R33=0),"",IF(R33&lt;0.1,1,IF(R33&lt;1,2,IF(R33&lt;10,3,IF(R33&lt;50,4,IF(R33&gt;=50,5,""))))))</f>
        <v>1</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CALSPX</v>
      </c>
      <c r="Z33" s="470" t="n">
        <f aca="false">IF(ISERROR(MATCH(A33,'liste reference'!$A$6:$A$1174,0)),IF(ISERROR(MATCH(A33,'liste reference'!$B$6:$B$1174,0)),"",(MATCH(A33,'liste reference'!$B$6:$B$1174,0))),(MATCH(A33,'liste reference'!$A$6:$A$1174,0)))</f>
        <v>441</v>
      </c>
    </row>
    <row r="34" customFormat="false" ht="12.75" hidden="false" customHeight="false" outlineLevel="0" collapsed="false">
      <c r="A34" s="489" t="s">
        <v>1483</v>
      </c>
      <c r="B34" s="490" t="n">
        <v>0.005</v>
      </c>
      <c r="C34" s="491" t="n">
        <v>0.005</v>
      </c>
      <c r="D34" s="492" t="str">
        <f aca="false">IF(ISERROR(VLOOKUP($A34,'liste reference'!$A$6:$B$1174,2,0)),IF(ISERROR(VLOOKUP($A34,'liste reference'!$B$6:$B$1174,1,0)),"",VLOOKUP($A34,'liste reference'!$B$6:$B$1174,1,0)),VLOOKUP($A34,'liste reference'!$A$6:$B$1174,2,0))</f>
        <v>Helosciadium nodiflorum </v>
      </c>
      <c r="E34" s="493" t="e">
        <f aca="false">IF(D34="",0,VLOOKUP(D34,D$22:D33,1,0))</f>
        <v>#N/A</v>
      </c>
      <c r="F34" s="494" t="n">
        <f aca="false">IF(AND(OR(A34="",A34="!!!!!!"),B34="",C34=""),"",IF(OR(AND(B34="",C34=""),ISERROR(C34+B34)),"!!!",($B34*$B$7+$C34*$C$7)/100))</f>
        <v>0.005</v>
      </c>
      <c r="G34" s="495" t="str">
        <f aca="false">IF(A34="","",IF(ISERROR(VLOOKUP($A34,'liste reference'!$A$6:$Q$1174,9,0)),IF(ISERROR(VLOOKUP($A34,'liste reference'!$B$6:$Q$1174,8,0)),"    -",VLOOKUP($A34,'liste reference'!$B$6:$Q$1174,8,0)),VLOOKUP($A34,'liste reference'!$A$6:$Q$1174,9,0)))</f>
        <v>PHy</v>
      </c>
      <c r="H34" s="496" t="n">
        <f aca="false">IF(A34="","x",IF(ISERROR(VLOOKUP($A34,'liste reference'!$A$6:$Q$1174,10,0)),IF(ISERROR(VLOOKUP($A34,'liste reference'!$B$6:$Q$1174,9,0)),"x",VLOOKUP($A34,'liste reference'!$B$6:$Q$1174,9,0)),VLOOKUP($A34,'liste reference'!$A$6:$Q$1174,10,0)))</f>
        <v>7</v>
      </c>
      <c r="I34" s="281" t="n">
        <f aca="false">IF(A34="","",1)</f>
        <v>1</v>
      </c>
      <c r="J34" s="497" t="n">
        <f aca="false">IF(ISNUMBER($H34),IF(ISERROR(VLOOKUP($A34,'liste reference'!$A$6:$Q$1174,6,0)),IF(ISERROR(VLOOKUP($A34,'liste reference'!$B$6:$Q$1174,5,0)),"nu",VLOOKUP($A34,'liste reference'!$B$6:$Q$1174,5,0)),VLOOKUP($A34,'liste reference'!$A$6:$Q$1174,6,0)),"nu")</f>
        <v>10</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Helosciadium nodiflorum </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30053</v>
      </c>
      <c r="R34" s="484" t="n">
        <f aca="false">IF(ISTEXT(H34),"",(B34*$B$7/100)+(C34*$C$7/100))</f>
        <v>0.005</v>
      </c>
      <c r="S34" s="485" t="n">
        <f aca="false">IF(OR(ISTEXT(H34),R34=0),"",IF(R34&lt;0.1,1,IF(R34&lt;1,2,IF(R34&lt;10,3,IF(R34&lt;50,4,IF(R34&gt;=50,5,""))))))</f>
        <v>1</v>
      </c>
      <c r="T34" s="485" t="n">
        <f aca="false">IF(ISERROR(S34*J34),0,S34*J34)</f>
        <v>10</v>
      </c>
      <c r="U34" s="485" t="n">
        <f aca="false">IF(ISERROR(S34*J34*K34),0,S34*J34*K34)</f>
        <v>10</v>
      </c>
      <c r="V34" s="501" t="n">
        <f aca="false">IF(ISERROR(S34*K34),0,S34*K34)</f>
        <v>1</v>
      </c>
      <c r="W34" s="502"/>
      <c r="X34" s="503"/>
      <c r="Y34" s="488" t="str">
        <f aca="false">IF(AND(ISNUMBER(F34),OR(A34="",A34="!!!!!!")),"!!!!!!",IF(A34="new.cod","NEWCOD",IF(AND((Z34=""),ISTEXT(A34),A34&lt;&gt;"!!!!!!"),A34,IF(Z34="","",INDEX('liste reference'!$A$6:$A$1174,Z34)))))</f>
        <v>HELNOD</v>
      </c>
      <c r="Z34" s="470" t="n">
        <f aca="false">IF(ISERROR(MATCH(A34,'liste reference'!$A$6:$A$1174,0)),IF(ISERROR(MATCH(A34,'liste reference'!$B$6:$B$1174,0)),"",(MATCH(A34,'liste reference'!$B$6:$B$1174,0))),(MATCH(A34,'liste reference'!$A$6:$A$1174,0)))</f>
        <v>460</v>
      </c>
    </row>
    <row r="35" customFormat="false" ht="12.75" hidden="false" customHeight="false" outlineLevel="0" collapsed="false">
      <c r="A35" s="489" t="s">
        <v>1520</v>
      </c>
      <c r="B35" s="490" t="n">
        <v>0.005</v>
      </c>
      <c r="C35" s="491" t="n">
        <v>0.005</v>
      </c>
      <c r="D35" s="492" t="str">
        <f aca="false">IF(ISERROR(VLOOKUP($A35,'liste reference'!$A$6:$B$1174,2,0)),IF(ISERROR(VLOOKUP($A35,'liste reference'!$B$6:$B$1174,1,0)),"",VLOOKUP($A35,'liste reference'!$B$6:$B$1174,1,0)),VLOOKUP($A35,'liste reference'!$A$6:$B$1174,2,0))</f>
        <v>Lemna gibba</v>
      </c>
      <c r="E35" s="493" t="e">
        <f aca="false">IF(D35="",0,VLOOKUP(D35,D$22:D34,1,0))</f>
        <v>#N/A</v>
      </c>
      <c r="F35" s="494" t="n">
        <f aca="false">IF(AND(OR(A35="",A35="!!!!!!"),B35="",C35=""),"",IF(OR(AND(B35="",C35=""),ISERROR(C35+B35)),"!!!",($B35*$B$7+$C35*$C$7)/100))</f>
        <v>0.005</v>
      </c>
      <c r="G35" s="495" t="str">
        <f aca="false">IF(A35="","",IF(ISERROR(VLOOKUP($A35,'liste reference'!$A$6:$Q$1174,9,0)),IF(ISERROR(VLOOKUP($A35,'liste reference'!$B$6:$Q$1174,8,0)),"    -",VLOOKUP($A35,'liste reference'!$B$6:$Q$1174,8,0)),VLOOKUP($A35,'liste reference'!$A$6:$Q$1174,9,0)))</f>
        <v>PHy</v>
      </c>
      <c r="H35" s="496" t="n">
        <f aca="false">IF(A35="","x",IF(ISERROR(VLOOKUP($A35,'liste reference'!$A$6:$Q$1174,10,0)),IF(ISERROR(VLOOKUP($A35,'liste reference'!$B$6:$Q$1174,9,0)),"x",VLOOKUP($A35,'liste reference'!$B$6:$Q$1174,9,0)),VLOOKUP($A35,'liste reference'!$A$6:$Q$1174,10,0)))</f>
        <v>7</v>
      </c>
      <c r="I35" s="281" t="n">
        <f aca="false">IF(A35="","",1)</f>
        <v>1</v>
      </c>
      <c r="J35" s="497" t="n">
        <f aca="false">IF(ISNUMBER($H35),IF(ISERROR(VLOOKUP($A35,'liste reference'!$A$6:$Q$1174,6,0)),IF(ISERROR(VLOOKUP($A35,'liste reference'!$B$6:$Q$1174,5,0)),"nu",VLOOKUP($A35,'liste reference'!$B$6:$Q$1174,5,0)),VLOOKUP($A35,'liste reference'!$A$6:$Q$1174,6,0)),"nu")</f>
        <v>5</v>
      </c>
      <c r="K35" s="497" t="n">
        <f aca="false">IF(ISNUMBER($H35),IF(ISERROR(VLOOKUP($A35,'liste reference'!$A$6:$Q$1174,7,0)),IF(ISERROR(VLOOKUP($A35,'liste reference'!$B$6:$Q$1174,6,0)),"nu",VLOOKUP($A35,'liste reference'!$B$6:$Q$1174,6,0)),VLOOKUP($A35,'liste reference'!$A$6:$Q$1174,7,0)),"nu")</f>
        <v>3</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Lemna gibba</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1625</v>
      </c>
      <c r="R35" s="484" t="n">
        <f aca="false">IF(ISTEXT(H35),"",(B35*$B$7/100)+(C35*$C$7/100))</f>
        <v>0.005</v>
      </c>
      <c r="S35" s="485" t="n">
        <f aca="false">IF(OR(ISTEXT(H35),R35=0),"",IF(R35&lt;0.1,1,IF(R35&lt;1,2,IF(R35&lt;10,3,IF(R35&lt;50,4,IF(R35&gt;=50,5,""))))))</f>
        <v>1</v>
      </c>
      <c r="T35" s="485" t="n">
        <f aca="false">IF(ISERROR(S35*J35),0,S35*J35)</f>
        <v>5</v>
      </c>
      <c r="U35" s="485" t="n">
        <f aca="false">IF(ISERROR(S35*J35*K35),0,S35*J35*K35)</f>
        <v>15</v>
      </c>
      <c r="V35" s="501" t="n">
        <f aca="false">IF(ISERROR(S35*K35),0,S35*K35)</f>
        <v>3</v>
      </c>
      <c r="W35" s="502"/>
      <c r="X35" s="503"/>
      <c r="Y35" s="488" t="str">
        <f aca="false">IF(AND(ISNUMBER(F35),OR(A35="",A35="!!!!!!")),"!!!!!!",IF(A35="new.cod","NEWCOD",IF(AND((Z35=""),ISTEXT(A35),A35&lt;&gt;"!!!!!!"),A35,IF(Z35="","",INDEX('liste reference'!$A$6:$A$1174,Z35)))))</f>
        <v>LEMGIB</v>
      </c>
      <c r="Z35" s="470" t="n">
        <f aca="false">IF(ISERROR(MATCH(A35,'liste reference'!$A$6:$A$1174,0)),IF(ISERROR(MATCH(A35,'liste reference'!$B$6:$B$1174,0)),"",(MATCH(A35,'liste reference'!$B$6:$B$1174,0))),(MATCH(A35,'liste reference'!$A$6:$A$1174,0)))</f>
        <v>472</v>
      </c>
    </row>
    <row r="36" customFormat="false" ht="12.75" hidden="false" customHeight="false" outlineLevel="0" collapsed="false">
      <c r="A36" s="489" t="s">
        <v>1522</v>
      </c>
      <c r="B36" s="490" t="n">
        <v>0.2</v>
      </c>
      <c r="C36" s="491" t="n">
        <v>0.005</v>
      </c>
      <c r="D36" s="492" t="str">
        <f aca="false">IF(ISERROR(VLOOKUP($A36,'liste reference'!$A$6:$B$1174,2,0)),IF(ISERROR(VLOOKUP($A36,'liste reference'!$B$6:$B$1174,1,0)),"",VLOOKUP($A36,'liste reference'!$B$6:$B$1174,1,0)),VLOOKUP($A36,'liste reference'!$A$6:$B$1174,2,0))</f>
        <v>Lemna minor</v>
      </c>
      <c r="E36" s="493" t="e">
        <f aca="false">IF(D36="",0,VLOOKUP(D36,D$22:D35,1,0))</f>
        <v>#N/A</v>
      </c>
      <c r="F36" s="494" t="n">
        <f aca="false">IF(AND(OR(A36="",A36="!!!!!!"),B36="",C36=""),"",IF(OR(AND(B36="",C36=""),ISERROR(C36+B36)),"!!!",($B36*$B$7+$C36*$C$7)/100))</f>
        <v>0.05765</v>
      </c>
      <c r="G36" s="495" t="str">
        <f aca="false">IF(A36="","",IF(ISERROR(VLOOKUP($A36,'liste reference'!$A$6:$Q$1174,9,0)),IF(ISERROR(VLOOKUP($A36,'liste reference'!$B$6:$Q$1174,8,0)),"    -",VLOOKUP($A36,'liste reference'!$B$6:$Q$1174,8,0)),VLOOKUP($A36,'liste reference'!$A$6:$Q$1174,9,0)))</f>
        <v>PHy</v>
      </c>
      <c r="H36" s="496" t="n">
        <f aca="false">IF(A36="","x",IF(ISERROR(VLOOKUP($A36,'liste reference'!$A$6:$Q$1174,10,0)),IF(ISERROR(VLOOKUP($A36,'liste reference'!$B$6:$Q$1174,9,0)),"x",VLOOKUP($A36,'liste reference'!$B$6:$Q$1174,9,0)),VLOOKUP($A36,'liste reference'!$A$6:$Q$1174,10,0)))</f>
        <v>7</v>
      </c>
      <c r="I36" s="281" t="n">
        <f aca="false">IF(A36="","",1)</f>
        <v>1</v>
      </c>
      <c r="J36" s="497" t="n">
        <f aca="false">IF(ISNUMBER($H36),IF(ISERROR(VLOOKUP($A36,'liste reference'!$A$6:$Q$1174,6,0)),IF(ISERROR(VLOOKUP($A36,'liste reference'!$B$6:$Q$1174,5,0)),"nu",VLOOKUP($A36,'liste reference'!$B$6:$Q$1174,5,0)),VLOOKUP($A36,'liste reference'!$A$6:$Q$1174,6,0)),"nu")</f>
        <v>10</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Lemna minor</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1626</v>
      </c>
      <c r="R36" s="484" t="n">
        <f aca="false">IF(ISTEXT(H36),"",(B36*$B$7/100)+(C36*$C$7/100))</f>
        <v>0.05765</v>
      </c>
      <c r="S36" s="485" t="n">
        <f aca="false">IF(OR(ISTEXT(H36),R36=0),"",IF(R36&lt;0.1,1,IF(R36&lt;1,2,IF(R36&lt;10,3,IF(R36&lt;50,4,IF(R36&gt;=50,5,""))))))</f>
        <v>1</v>
      </c>
      <c r="T36" s="485" t="n">
        <f aca="false">IF(ISERROR(S36*J36),0,S36*J36)</f>
        <v>10</v>
      </c>
      <c r="U36" s="485" t="n">
        <f aca="false">IF(ISERROR(S36*J36*K36),0,S36*J36*K36)</f>
        <v>10</v>
      </c>
      <c r="V36" s="501" t="n">
        <f aca="false">IF(ISERROR(S36*K36),0,S36*K36)</f>
        <v>1</v>
      </c>
      <c r="W36" s="502"/>
      <c r="X36" s="503"/>
      <c r="Y36" s="488" t="str">
        <f aca="false">IF(AND(ISNUMBER(F36),OR(A36="",A36="!!!!!!")),"!!!!!!",IF(A36="new.cod","NEWCOD",IF(AND((Z36=""),ISTEXT(A36),A36&lt;&gt;"!!!!!!"),A36,IF(Z36="","",INDEX('liste reference'!$A$6:$A$1174,Z36)))))</f>
        <v>LEMMIN</v>
      </c>
      <c r="Z36" s="470" t="n">
        <f aca="false">IF(ISERROR(MATCH(A36,'liste reference'!$A$6:$A$1174,0)),IF(ISERROR(MATCH(A36,'liste reference'!$B$6:$B$1174,0)),"",(MATCH(A36,'liste reference'!$B$6:$B$1174,0))),(MATCH(A36,'liste reference'!$A$6:$A$1174,0)))</f>
        <v>473</v>
      </c>
    </row>
    <row r="37" customFormat="false" ht="12.75" hidden="false" customHeight="false" outlineLevel="0" collapsed="false">
      <c r="A37" s="489" t="s">
        <v>1524</v>
      </c>
      <c r="B37" s="490" t="n">
        <v>0.4</v>
      </c>
      <c r="C37" s="491" t="n">
        <v>0.01</v>
      </c>
      <c r="D37" s="492" t="str">
        <f aca="false">IF(ISERROR(VLOOKUP($A37,'liste reference'!$A$6:$B$1174,2,0)),IF(ISERROR(VLOOKUP($A37,'liste reference'!$B$6:$B$1174,1,0)),"",VLOOKUP($A37,'liste reference'!$B$6:$B$1174,1,0)),VLOOKUP($A37,'liste reference'!$A$6:$B$1174,2,0))</f>
        <v>Lemna minuta</v>
      </c>
      <c r="E37" s="493" t="e">
        <f aca="false">IF(D37="",0,VLOOKUP(D37,D$22:D36,1,0))</f>
        <v>#N/A</v>
      </c>
      <c r="F37" s="494" t="n">
        <f aca="false">IF(AND(OR(A37="",A37="!!!!!!"),B37="",C37=""),"",IF(OR(AND(B37="",C37=""),ISERROR(C37+B37)),"!!!",($B37*$B$7+$C37*$C$7)/100))</f>
        <v>0.1153</v>
      </c>
      <c r="G37" s="495" t="str">
        <f aca="false">IF(A37="","",IF(ISERROR(VLOOKUP($A37,'liste reference'!$A$6:$Q$1174,9,0)),IF(ISERROR(VLOOKUP($A37,'liste reference'!$B$6:$Q$1174,8,0)),"    -",VLOOKUP($A37,'liste reference'!$B$6:$Q$1174,8,0)),VLOOKUP($A37,'liste reference'!$A$6:$Q$1174,9,0)))</f>
        <v>PHy</v>
      </c>
      <c r="H37" s="496" t="n">
        <f aca="false">IF(A37="","x",IF(ISERROR(VLOOKUP($A37,'liste reference'!$A$6:$Q$1174,10,0)),IF(ISERROR(VLOOKUP($A37,'liste reference'!$B$6:$Q$1174,9,0)),"x",VLOOKUP($A37,'liste reference'!$B$6:$Q$1174,9,0)),VLOOKUP($A37,'liste reference'!$A$6:$Q$1174,10,0)))</f>
        <v>7</v>
      </c>
      <c r="I37" s="281" t="n">
        <f aca="false">IF(A37="","",1)</f>
        <v>1</v>
      </c>
      <c r="J37" s="497" t="str">
        <f aca="false">IF(ISNUMBER($H37),IF(ISERROR(VLOOKUP($A37,'liste reference'!$A$6:$Q$1174,6,0)),IF(ISERROR(VLOOKUP($A37,'liste reference'!$B$6:$Q$1174,5,0)),"nu",VLOOKUP($A37,'liste reference'!$B$6:$Q$1174,5,0)),VLOOKUP($A37,'liste reference'!$A$6:$Q$1174,6,0)),"nu")</f>
        <v>nc</v>
      </c>
      <c r="K37" s="497" t="str">
        <f aca="false">IF(ISNUMBER($H37),IF(ISERROR(VLOOKUP($A37,'liste reference'!$A$6:$Q$1174,7,0)),IF(ISERROR(VLOOKUP($A37,'liste reference'!$B$6:$Q$1174,6,0)),"nu",VLOOKUP($A37,'liste reference'!$B$6:$Q$1174,6,0)),VLOOKUP($A37,'liste reference'!$A$6:$Q$1174,7,0)),"nu")</f>
        <v>nc</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Lemna minuta</v>
      </c>
      <c r="M37" s="498"/>
      <c r="N37" s="498"/>
      <c r="O37" s="498"/>
      <c r="P37" s="499" t="s">
        <v>3448</v>
      </c>
      <c r="Q37" s="500" t="n">
        <f aca="false">IF(OR($A37="NEWCOD",$A37="!!!!!!"),IF(X37="","NoCod",X37),IF($A37="","",IF(ISERROR(VLOOKUP($A37,'liste reference'!$A$6:$H$1174,8,0)),IF(ISERROR(VLOOKUP($A37,'liste reference'!$B$6:$H$1174,7,0)),"",VLOOKUP($A37,'liste reference'!$B$6:$H$1174,7,0)),VLOOKUP($A37,'liste reference'!$A$6:$H$1174,8,0))))</f>
        <v>29962</v>
      </c>
      <c r="R37" s="484" t="n">
        <f aca="false">IF(ISTEXT(H37),"",(B37*$B$7/100)+(C37*$C$7/100))</f>
        <v>0.1153</v>
      </c>
      <c r="S37" s="485" t="n">
        <f aca="false">IF(OR(ISTEXT(H37),R37=0),"",IF(R37&lt;0.1,1,IF(R37&lt;1,2,IF(R37&lt;10,3,IF(R37&lt;50,4,IF(R37&gt;=50,5,""))))))</f>
        <v>2</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LEMMIT</v>
      </c>
      <c r="Z37" s="470" t="n">
        <f aca="false">IF(ISERROR(MATCH(A37,'liste reference'!$A$6:$A$1174,0)),IF(ISERROR(MATCH(A37,'liste reference'!$B$6:$B$1174,0)),"",(MATCH(A37,'liste reference'!$B$6:$B$1174,0))),(MATCH(A37,'liste reference'!$A$6:$A$1174,0)))</f>
        <v>474</v>
      </c>
    </row>
    <row r="38" customFormat="false" ht="12.75" hidden="false" customHeight="false" outlineLevel="0" collapsed="false">
      <c r="A38" s="489" t="s">
        <v>1657</v>
      </c>
      <c r="B38" s="490"/>
      <c r="C38" s="491" t="n">
        <v>0.005</v>
      </c>
      <c r="D38" s="492" t="str">
        <f aca="false">IF(ISERROR(VLOOKUP($A38,'liste reference'!$A$6:$B$1174,2,0)),IF(ISERROR(VLOOKUP($A38,'liste reference'!$B$6:$B$1174,1,0)),"",VLOOKUP($A38,'liste reference'!$B$6:$B$1174,1,0)),VLOOKUP($A38,'liste reference'!$A$6:$B$1174,2,0))</f>
        <v>Potamogeton crispus</v>
      </c>
      <c r="E38" s="493" t="e">
        <f aca="false">IF(D38="",0,VLOOKUP(D38,D$22:D37,1,0))</f>
        <v>#N/A</v>
      </c>
      <c r="F38" s="494" t="n">
        <f aca="false">IF(AND(OR(A38="",A38="!!!!!!"),B38="",C38=""),"",IF(OR(AND(B38="",C38=""),ISERROR(C38+B38)),"!!!",($B38*$B$7+$C38*$C$7)/100))</f>
        <v>0.00365</v>
      </c>
      <c r="G38" s="495" t="str">
        <f aca="false">IF(A38="","",IF(ISERROR(VLOOKUP($A38,'liste reference'!$A$6:$Q$1174,9,0)),IF(ISERROR(VLOOKUP($A38,'liste reference'!$B$6:$Q$1174,8,0)),"    -",VLOOKUP($A38,'liste reference'!$B$6:$Q$1174,8,0)),VLOOKUP($A38,'liste reference'!$A$6:$Q$1174,9,0)))</f>
        <v>PHy</v>
      </c>
      <c r="H38" s="496" t="n">
        <f aca="false">IF(A38="","x",IF(ISERROR(VLOOKUP($A38,'liste reference'!$A$6:$Q$1174,10,0)),IF(ISERROR(VLOOKUP($A38,'liste reference'!$B$6:$Q$1174,9,0)),"x",VLOOKUP($A38,'liste reference'!$B$6:$Q$1174,9,0)),VLOOKUP($A38,'liste reference'!$A$6:$Q$1174,10,0)))</f>
        <v>7</v>
      </c>
      <c r="I38" s="281" t="n">
        <f aca="false">IF(A38="","",1)</f>
        <v>1</v>
      </c>
      <c r="J38" s="497" t="n">
        <f aca="false">IF(ISNUMBER($H38),IF(ISERROR(VLOOKUP($A38,'liste reference'!$A$6:$Q$1174,6,0)),IF(ISERROR(VLOOKUP($A38,'liste reference'!$B$6:$Q$1174,5,0)),"nu",VLOOKUP($A38,'liste reference'!$B$6:$Q$1174,5,0)),VLOOKUP($A38,'liste reference'!$A$6:$Q$1174,6,0)),"nu")</f>
        <v>7</v>
      </c>
      <c r="K38" s="497" t="n">
        <f aca="false">IF(ISNUMBER($H38),IF(ISERROR(VLOOKUP($A38,'liste reference'!$A$6:$Q$1174,7,0)),IF(ISERROR(VLOOKUP($A38,'liste reference'!$B$6:$Q$1174,6,0)),"nu",VLOOKUP($A38,'liste reference'!$B$6:$Q$1174,6,0)),VLOOKUP($A38,'liste reference'!$A$6:$Q$1174,7,0)),"nu")</f>
        <v>2</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Potamogeton crispus</v>
      </c>
      <c r="M38" s="498"/>
      <c r="N38" s="498"/>
      <c r="O38" s="498"/>
      <c r="P38" s="499" t="s">
        <v>3448</v>
      </c>
      <c r="Q38" s="500" t="n">
        <f aca="false">IF(OR($A38="NEWCOD",$A38="!!!!!!"),IF(X38="","NoCod",X38),IF($A38="","",IF(ISERROR(VLOOKUP($A38,'liste reference'!$A$6:$H$1174,8,0)),IF(ISERROR(VLOOKUP($A38,'liste reference'!$B$6:$H$1174,7,0)),"",VLOOKUP($A38,'liste reference'!$B$6:$H$1174,7,0)),VLOOKUP($A38,'liste reference'!$A$6:$H$1174,8,0))))</f>
        <v>1645</v>
      </c>
      <c r="R38" s="484" t="n">
        <f aca="false">IF(ISTEXT(H38),"",(B38*$B$7/100)+(C38*$C$7/100))</f>
        <v>0.00365</v>
      </c>
      <c r="S38" s="485" t="n">
        <f aca="false">IF(OR(ISTEXT(H38),R38=0),"",IF(R38&lt;0.1,1,IF(R38&lt;1,2,IF(R38&lt;10,3,IF(R38&lt;50,4,IF(R38&gt;=50,5,""))))))</f>
        <v>1</v>
      </c>
      <c r="T38" s="485" t="n">
        <f aca="false">IF(ISERROR(S38*J38),0,S38*J38)</f>
        <v>7</v>
      </c>
      <c r="U38" s="485" t="n">
        <f aca="false">IF(ISERROR(S38*J38*K38),0,S38*J38*K38)</f>
        <v>14</v>
      </c>
      <c r="V38" s="501" t="n">
        <f aca="false">IF(ISERROR(S38*K38),0,S38*K38)</f>
        <v>2</v>
      </c>
      <c r="W38" s="502"/>
      <c r="X38" s="503"/>
      <c r="Y38" s="488" t="str">
        <f aca="false">IF(AND(ISNUMBER(F38),OR(A38="",A38="!!!!!!")),"!!!!!!",IF(A38="new.cod","NEWCOD",IF(AND((Z38=""),ISTEXT(A38),A38&lt;&gt;"!!!!!!"),A38,IF(Z38="","",INDEX('liste reference'!$A$6:$A$1174,Z38)))))</f>
        <v>POTCRI</v>
      </c>
      <c r="Z38" s="470" t="n">
        <f aca="false">IF(ISERROR(MATCH(A38,'liste reference'!$A$6:$A$1174,0)),IF(ISERROR(MATCH(A38,'liste reference'!$B$6:$B$1174,0)),"",(MATCH(A38,'liste reference'!$B$6:$B$1174,0))),(MATCH(A38,'liste reference'!$A$6:$A$1174,0)))</f>
        <v>522</v>
      </c>
    </row>
    <row r="39" customFormat="false" ht="12.75" hidden="false" customHeight="false" outlineLevel="0" collapsed="false">
      <c r="A39" s="489" t="s">
        <v>1796</v>
      </c>
      <c r="B39" s="490" t="n">
        <v>30</v>
      </c>
      <c r="C39" s="491" t="n">
        <v>0.25</v>
      </c>
      <c r="D39" s="492" t="str">
        <f aca="false">IF(ISERROR(VLOOKUP($A39,'liste reference'!$A$6:$B$1174,2,0)),IF(ISERROR(VLOOKUP($A39,'liste reference'!$B$6:$B$1174,1,0)),"",VLOOKUP($A39,'liste reference'!$B$6:$B$1174,1,0)),VLOOKUP($A39,'liste reference'!$A$6:$B$1174,2,0))</f>
        <v>Ranunculus penicillatus except. var. calcareus</v>
      </c>
      <c r="E39" s="493" t="e">
        <f aca="false">IF(D39="",0,VLOOKUP(D39,D$22:D38,1,0))</f>
        <v>#N/A</v>
      </c>
      <c r="F39" s="494" t="n">
        <f aca="false">IF(AND(OR(A39="",A39="!!!!!!"),B39="",C39=""),"",IF(OR(AND(B39="",C39=""),ISERROR(C39+B39)),"!!!",($B39*$B$7+$C39*$C$7)/100))</f>
        <v>8.2825</v>
      </c>
      <c r="G39" s="495" t="str">
        <f aca="false">IF(A39="","",IF(ISERROR(VLOOKUP($A39,'liste reference'!$A$6:$Q$1174,9,0)),IF(ISERROR(VLOOKUP($A39,'liste reference'!$B$6:$Q$1174,8,0)),"    -",VLOOKUP($A39,'liste reference'!$B$6:$Q$1174,8,0)),VLOOKUP($A39,'liste reference'!$A$6:$Q$1174,9,0)))</f>
        <v>PHy</v>
      </c>
      <c r="H39" s="496" t="n">
        <f aca="false">IF(A39="","x",IF(ISERROR(VLOOKUP($A39,'liste reference'!$A$6:$Q$1174,10,0)),IF(ISERROR(VLOOKUP($A39,'liste reference'!$B$6:$Q$1174,9,0)),"x",VLOOKUP($A39,'liste reference'!$B$6:$Q$1174,9,0)),VLOOKUP($A39,'liste reference'!$A$6:$Q$1174,10,0)))</f>
        <v>7</v>
      </c>
      <c r="I39" s="281" t="n">
        <f aca="false">IF(A39="","",1)</f>
        <v>1</v>
      </c>
      <c r="J39" s="497" t="n">
        <f aca="false">IF(ISNUMBER($H39),IF(ISERROR(VLOOKUP($A39,'liste reference'!$A$6:$Q$1174,6,0)),IF(ISERROR(VLOOKUP($A39,'liste reference'!$B$6:$Q$1174,5,0)),"nu",VLOOKUP($A39,'liste reference'!$B$6:$Q$1174,5,0)),VLOOKUP($A39,'liste reference'!$A$6:$Q$1174,6,0)),"nu")</f>
        <v>12</v>
      </c>
      <c r="K39" s="497" t="n">
        <f aca="false">IF(ISNUMBER($H39),IF(ISERROR(VLOOKUP($A39,'liste reference'!$A$6:$Q$1174,7,0)),IF(ISERROR(VLOOKUP($A39,'liste reference'!$B$6:$Q$1174,6,0)),"nu",VLOOKUP($A39,'liste reference'!$B$6:$Q$1174,6,0)),VLOOKUP($A39,'liste reference'!$A$6:$Q$1174,7,0)),"nu")</f>
        <v>1</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Ranunculus penicillatus except. var. calcareus</v>
      </c>
      <c r="M39" s="498"/>
      <c r="N39" s="498"/>
      <c r="O39" s="498"/>
      <c r="P39" s="499" t="s">
        <v>3448</v>
      </c>
      <c r="Q39" s="500" t="n">
        <f aca="false">IF(OR($A39="NEWCOD",$A39="!!!!!!"),IF(X39="","NoCod",X39),IF($A39="","",IF(ISERROR(VLOOKUP($A39,'liste reference'!$A$6:$H$1174,8,0)),IF(ISERROR(VLOOKUP($A39,'liste reference'!$B$6:$H$1174,7,0)),"",VLOOKUP($A39,'liste reference'!$B$6:$H$1174,7,0)),VLOOKUP($A39,'liste reference'!$A$6:$H$1174,8,0))))</f>
        <v>1909</v>
      </c>
      <c r="R39" s="484" t="n">
        <f aca="false">IF(ISTEXT(H39),"",(B39*$B$7/100)+(C39*$C$7/100))</f>
        <v>8.2825</v>
      </c>
      <c r="S39" s="485" t="n">
        <f aca="false">IF(OR(ISTEXT(H39),R39=0),"",IF(R39&lt;0.1,1,IF(R39&lt;1,2,IF(R39&lt;10,3,IF(R39&lt;50,4,IF(R39&gt;=50,5,""))))))</f>
        <v>3</v>
      </c>
      <c r="T39" s="485" t="n">
        <f aca="false">IF(ISERROR(S39*J39),0,S39*J39)</f>
        <v>36</v>
      </c>
      <c r="U39" s="485" t="n">
        <f aca="false">IF(ISERROR(S39*J39*K39),0,S39*J39*K39)</f>
        <v>36</v>
      </c>
      <c r="V39" s="501" t="n">
        <f aca="false">IF(ISERROR(S39*K39),0,S39*K39)</f>
        <v>3</v>
      </c>
      <c r="W39" s="502"/>
      <c r="X39" s="503"/>
      <c r="Y39" s="488" t="str">
        <f aca="false">IF(AND(ISNUMBER(F39),OR(A39="",A39="!!!!!!")),"!!!!!!",IF(A39="new.cod","NEWCOD",IF(AND((Z39=""),ISTEXT(A39),A39&lt;&gt;"!!!!!!"),A39,IF(Z39="","",INDEX('liste reference'!$A$6:$A$1174,Z39)))))</f>
        <v>RANPEU</v>
      </c>
      <c r="Z39" s="470" t="n">
        <f aca="false">IF(ISERROR(MATCH(A39,'liste reference'!$A$6:$A$1174,0)),IF(ISERROR(MATCH(A39,'liste reference'!$B$6:$B$1174,0)),"",(MATCH(A39,'liste reference'!$B$6:$B$1174,0))),(MATCH(A39,'liste reference'!$A$6:$A$1174,0)))</f>
        <v>571</v>
      </c>
    </row>
    <row r="40" customFormat="false" ht="12.75" hidden="false" customHeight="false" outlineLevel="0" collapsed="false">
      <c r="A40" s="489" t="s">
        <v>1932</v>
      </c>
      <c r="B40" s="490"/>
      <c r="C40" s="491" t="n">
        <v>0.005</v>
      </c>
      <c r="D40" s="492" t="str">
        <f aca="false">IF(ISERROR(VLOOKUP($A40,'liste reference'!$A$6:$B$1174,2,0)),IF(ISERROR(VLOOKUP($A40,'liste reference'!$B$6:$B$1174,1,0)),"",VLOOKUP($A40,'liste reference'!$B$6:$B$1174,1,0)),VLOOKUP($A40,'liste reference'!$A$6:$B$1174,2,0))</f>
        <v>Agrostis stolonifera</v>
      </c>
      <c r="E40" s="493" t="e">
        <f aca="false">IF(D40="",0,VLOOKUP(D40,D$22:D39,1,0))</f>
        <v>#N/A</v>
      </c>
      <c r="F40" s="494" t="n">
        <f aca="false">IF(AND(OR(A40="",A40="!!!!!!"),B40="",C40=""),"",IF(OR(AND(B40="",C40=""),ISERROR(C40+B40)),"!!!",($B40*$B$7+$C40*$C$7)/100))</f>
        <v>0.00365</v>
      </c>
      <c r="G40" s="495" t="str">
        <f aca="false">IF(A40="","",IF(ISERROR(VLOOKUP($A40,'liste reference'!$A$6:$Q$1174,9,0)),IF(ISERROR(VLOOKUP($A40,'liste reference'!$B$6:$Q$1174,8,0)),"    -",VLOOKUP($A40,'liste reference'!$B$6:$Q$1174,8,0)),VLOOKUP($A40,'liste reference'!$A$6:$Q$1174,9,0)))</f>
        <v>PHe</v>
      </c>
      <c r="H40" s="496" t="n">
        <f aca="false">IF(A40="","x",IF(ISERROR(VLOOKUP($A40,'liste reference'!$A$6:$Q$1174,10,0)),IF(ISERROR(VLOOKUP($A40,'liste reference'!$B$6:$Q$1174,9,0)),"x",VLOOKUP($A40,'liste reference'!$B$6:$Q$1174,9,0)),VLOOKUP($A40,'liste reference'!$A$6:$Q$1174,10,0)))</f>
        <v>8</v>
      </c>
      <c r="I40" s="281" t="n">
        <f aca="false">IF(A40="","",1)</f>
        <v>1</v>
      </c>
      <c r="J40" s="497" t="n">
        <f aca="false">IF(ISNUMBER($H40),IF(ISERROR(VLOOKUP($A40,'liste reference'!$A$6:$Q$1174,6,0)),IF(ISERROR(VLOOKUP($A40,'liste reference'!$B$6:$Q$1174,5,0)),"nu",VLOOKUP($A40,'liste reference'!$B$6:$Q$1174,5,0)),VLOOKUP($A40,'liste reference'!$A$6:$Q$1174,6,0)),"nu")</f>
        <v>10</v>
      </c>
      <c r="K40" s="497" t="n">
        <f aca="false">IF(ISNUMBER($H40),IF(ISERROR(VLOOKUP($A40,'liste reference'!$A$6:$Q$1174,7,0)),IF(ISERROR(VLOOKUP($A40,'liste reference'!$B$6:$Q$1174,6,0)),"nu",VLOOKUP($A40,'liste reference'!$B$6:$Q$1174,6,0)),VLOOKUP($A40,'liste reference'!$A$6:$Q$1174,7,0)),"nu")</f>
        <v>1</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Agrostis stolonifera</v>
      </c>
      <c r="M40" s="498"/>
      <c r="N40" s="498"/>
      <c r="O40" s="498"/>
      <c r="P40" s="499" t="s">
        <v>3448</v>
      </c>
      <c r="Q40" s="500" t="n">
        <f aca="false">IF(OR($A40="NEWCOD",$A40="!!!!!!"),IF(X40="","NoCod",X40),IF($A40="","",IF(ISERROR(VLOOKUP($A40,'liste reference'!$A$6:$H$1174,8,0)),IF(ISERROR(VLOOKUP($A40,'liste reference'!$B$6:$H$1174,7,0)),"",VLOOKUP($A40,'liste reference'!$B$6:$H$1174,7,0)),VLOOKUP($A40,'liste reference'!$A$6:$H$1174,8,0))))</f>
        <v>1543</v>
      </c>
      <c r="R40" s="484" t="n">
        <f aca="false">IF(ISTEXT(H40),"",(B40*$B$7/100)+(C40*$C$7/100))</f>
        <v>0.00365</v>
      </c>
      <c r="S40" s="485" t="n">
        <f aca="false">IF(OR(ISTEXT(H40),R40=0),"",IF(R40&lt;0.1,1,IF(R40&lt;1,2,IF(R40&lt;10,3,IF(R40&lt;50,4,IF(R40&gt;=50,5,""))))))</f>
        <v>1</v>
      </c>
      <c r="T40" s="485" t="n">
        <f aca="false">IF(ISERROR(S40*J40),0,S40*J40)</f>
        <v>10</v>
      </c>
      <c r="U40" s="485" t="n">
        <f aca="false">IF(ISERROR(S40*J40*K40),0,S40*J40*K40)</f>
        <v>10</v>
      </c>
      <c r="V40" s="501" t="n">
        <f aca="false">IF(ISERROR(S40*K40),0,S40*K40)</f>
        <v>1</v>
      </c>
      <c r="W40" s="502"/>
      <c r="X40" s="503"/>
      <c r="Y40" s="488" t="str">
        <f aca="false">IF(AND(ISNUMBER(F40),OR(A40="",A40="!!!!!!")),"!!!!!!",IF(A40="new.cod","NEWCOD",IF(AND((Z40=""),ISTEXT(A40),A40&lt;&gt;"!!!!!!"),A40,IF(Z40="","",INDEX('liste reference'!$A$6:$A$1174,Z40)))))</f>
        <v>AGRSTO</v>
      </c>
      <c r="Z40" s="470" t="n">
        <f aca="false">IF(ISERROR(MATCH(A40,'liste reference'!$A$6:$A$1174,0)),IF(ISERROR(MATCH(A40,'liste reference'!$B$6:$B$1174,0)),"",(MATCH(A40,'liste reference'!$B$6:$B$1174,0))),(MATCH(A40,'liste reference'!$A$6:$A$1174,0)))</f>
        <v>623</v>
      </c>
    </row>
    <row r="41" customFormat="false" ht="12.75" hidden="false" customHeight="false" outlineLevel="0" collapsed="false">
      <c r="A41" s="489" t="s">
        <v>2127</v>
      </c>
      <c r="B41" s="490" t="n">
        <v>0.3</v>
      </c>
      <c r="C41" s="491" t="n">
        <v>0.5</v>
      </c>
      <c r="D41" s="492" t="str">
        <f aca="false">IF(ISERROR(VLOOKUP($A41,'liste reference'!$A$6:$B$1174,2,0)),IF(ISERROR(VLOOKUP($A41,'liste reference'!$B$6:$B$1174,1,0)),"",VLOOKUP($A41,'liste reference'!$B$6:$B$1174,1,0)),VLOOKUP($A41,'liste reference'!$A$6:$B$1174,2,0))</f>
        <v>Ludwigia peploides</v>
      </c>
      <c r="E41" s="493" t="e">
        <f aca="false">IF(D41="",0,VLOOKUP(D41,D$22:D40,1,0))</f>
        <v>#N/A</v>
      </c>
      <c r="F41" s="494" t="n">
        <f aca="false">IF(AND(OR(A41="",A41="!!!!!!"),B41="",C41=""),"",IF(OR(AND(B41="",C41=""),ISERROR(C41+B41)),"!!!",($B41*$B$7+$C41*$C$7)/100))</f>
        <v>0.446</v>
      </c>
      <c r="G41" s="495" t="str">
        <f aca="false">IF(A41="","",IF(ISERROR(VLOOKUP($A41,'liste reference'!$A$6:$Q$1174,9,0)),IF(ISERROR(VLOOKUP($A41,'liste reference'!$B$6:$Q$1174,8,0)),"    -",VLOOKUP($A41,'liste reference'!$B$6:$Q$1174,8,0)),VLOOKUP($A41,'liste reference'!$A$6:$Q$1174,9,0)))</f>
        <v>PHe</v>
      </c>
      <c r="H41" s="496" t="n">
        <f aca="false">IF(A41="","x",IF(ISERROR(VLOOKUP($A41,'liste reference'!$A$6:$Q$1174,10,0)),IF(ISERROR(VLOOKUP($A41,'liste reference'!$B$6:$Q$1174,9,0)),"x",VLOOKUP($A41,'liste reference'!$B$6:$Q$1174,9,0)),VLOOKUP($A41,'liste reference'!$A$6:$Q$1174,10,0)))</f>
        <v>8</v>
      </c>
      <c r="I41" s="281" t="n">
        <f aca="false">IF(A41="","",1)</f>
        <v>1</v>
      </c>
      <c r="J41" s="497" t="str">
        <f aca="false">IF(ISNUMBER($H41),IF(ISERROR(VLOOKUP($A41,'liste reference'!$A$6:$Q$1174,6,0)),IF(ISERROR(VLOOKUP($A41,'liste reference'!$B$6:$Q$1174,5,0)),"nu",VLOOKUP($A41,'liste reference'!$B$6:$Q$1174,5,0)),VLOOKUP($A41,'liste reference'!$A$6:$Q$1174,6,0)),"nu")</f>
        <v>nc</v>
      </c>
      <c r="K41" s="497" t="str">
        <f aca="false">IF(ISNUMBER($H41),IF(ISERROR(VLOOKUP($A41,'liste reference'!$A$6:$Q$1174,7,0)),IF(ISERROR(VLOOKUP($A41,'liste reference'!$B$6:$Q$1174,6,0)),"nu",VLOOKUP($A41,'liste reference'!$B$6:$Q$1174,6,0)),VLOOKUP($A41,'liste reference'!$A$6:$Q$1174,7,0)),"nu")</f>
        <v>nc</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Ludwigia peploides</v>
      </c>
      <c r="M41" s="498"/>
      <c r="N41" s="498"/>
      <c r="O41" s="498"/>
      <c r="P41" s="499" t="s">
        <v>3448</v>
      </c>
      <c r="Q41" s="500" t="n">
        <f aca="false">IF(OR($A41="NEWCOD",$A41="!!!!!!"),IF(X41="","NoCod",X41),IF($A41="","",IF(ISERROR(VLOOKUP($A41,'liste reference'!$A$6:$H$1174,8,0)),IF(ISERROR(VLOOKUP($A41,'liste reference'!$B$6:$H$1174,7,0)),"",VLOOKUP($A41,'liste reference'!$B$6:$H$1174,7,0)),VLOOKUP($A41,'liste reference'!$A$6:$H$1174,8,0))))</f>
        <v>1856</v>
      </c>
      <c r="R41" s="484" t="n">
        <f aca="false">IF(ISTEXT(H41),"",(B41*$B$7/100)+(C41*$C$7/100))</f>
        <v>0.446</v>
      </c>
      <c r="S41" s="485" t="n">
        <f aca="false">IF(OR(ISTEXT(H41),R41=0),"",IF(R41&lt;0.1,1,IF(R41&lt;1,2,IF(R41&lt;10,3,IF(R41&lt;50,4,IF(R41&gt;=50,5,""))))))</f>
        <v>2</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LUDPEP</v>
      </c>
      <c r="Z41" s="470" t="n">
        <f aca="false">IF(ISERROR(MATCH(A41,'liste reference'!$A$6:$A$1174,0)),IF(ISERROR(MATCH(A41,'liste reference'!$B$6:$B$1174,0)),"",(MATCH(A41,'liste reference'!$B$6:$B$1174,0))),(MATCH(A41,'liste reference'!$A$6:$A$1174,0)))</f>
        <v>690</v>
      </c>
    </row>
    <row r="42" customFormat="false" ht="12.75" hidden="false" customHeight="false" outlineLevel="0" collapsed="false">
      <c r="A42" s="489" t="s">
        <v>2170</v>
      </c>
      <c r="B42" s="490" t="n">
        <v>0.02</v>
      </c>
      <c r="C42" s="491" t="n">
        <v>0.05</v>
      </c>
      <c r="D42" s="492" t="str">
        <f aca="false">IF(ISERROR(VLOOKUP($A42,'liste reference'!$A$6:$B$1174,2,0)),IF(ISERROR(VLOOKUP($A42,'liste reference'!$B$6:$B$1174,1,0)),"",VLOOKUP($A42,'liste reference'!$B$6:$B$1174,1,0)),VLOOKUP($A42,'liste reference'!$A$6:$B$1174,2,0))</f>
        <v>Phalaris arundinacea</v>
      </c>
      <c r="E42" s="493" t="e">
        <f aca="false">IF(D42="",0,VLOOKUP(D42,D$22:D41,1,0))</f>
        <v>#N/A</v>
      </c>
      <c r="F42" s="494" t="n">
        <f aca="false">IF(AND(OR(A42="",A42="!!!!!!"),B42="",C42=""),"",IF(OR(AND(B42="",C42=""),ISERROR(C42+B42)),"!!!",($B42*$B$7+$C42*$C$7)/100))</f>
        <v>0.0419</v>
      </c>
      <c r="G42" s="495" t="str">
        <f aca="false">IF(A42="","",IF(ISERROR(VLOOKUP($A42,'liste reference'!$A$6:$Q$1174,9,0)),IF(ISERROR(VLOOKUP($A42,'liste reference'!$B$6:$Q$1174,8,0)),"    -",VLOOKUP($A42,'liste reference'!$B$6:$Q$1174,8,0)),VLOOKUP($A42,'liste reference'!$A$6:$Q$1174,9,0)))</f>
        <v>PHe</v>
      </c>
      <c r="H42" s="496" t="n">
        <f aca="false">IF(A42="","x",IF(ISERROR(VLOOKUP($A42,'liste reference'!$A$6:$Q$1174,10,0)),IF(ISERROR(VLOOKUP($A42,'liste reference'!$B$6:$Q$1174,9,0)),"x",VLOOKUP($A42,'liste reference'!$B$6:$Q$1174,9,0)),VLOOKUP($A42,'liste reference'!$A$6:$Q$1174,10,0)))</f>
        <v>8</v>
      </c>
      <c r="I42" s="281" t="n">
        <f aca="false">IF(A42="","",1)</f>
        <v>1</v>
      </c>
      <c r="J42" s="497" t="n">
        <f aca="false">IF(ISNUMBER($H42),IF(ISERROR(VLOOKUP($A42,'liste reference'!$A$6:$Q$1174,6,0)),IF(ISERROR(VLOOKUP($A42,'liste reference'!$B$6:$Q$1174,5,0)),"nu",VLOOKUP($A42,'liste reference'!$B$6:$Q$1174,5,0)),VLOOKUP($A42,'liste reference'!$A$6:$Q$1174,6,0)),"nu")</f>
        <v>10</v>
      </c>
      <c r="K42" s="497" t="n">
        <f aca="false">IF(ISNUMBER($H42),IF(ISERROR(VLOOKUP($A42,'liste reference'!$A$6:$Q$1174,7,0)),IF(ISERROR(VLOOKUP($A42,'liste reference'!$B$6:$Q$1174,6,0)),"nu",VLOOKUP($A42,'liste reference'!$B$6:$Q$1174,6,0)),VLOOKUP($A42,'liste reference'!$A$6:$Q$1174,7,0)),"nu")</f>
        <v>1</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Phalaris arundinacea</v>
      </c>
      <c r="M42" s="498"/>
      <c r="N42" s="498"/>
      <c r="O42" s="498"/>
      <c r="P42" s="499" t="s">
        <v>3448</v>
      </c>
      <c r="Q42" s="500" t="n">
        <f aca="false">IF(OR($A42="NEWCOD",$A42="!!!!!!"),IF(X42="","NoCod",X42),IF($A42="","",IF(ISERROR(VLOOKUP($A42,'liste reference'!$A$6:$H$1174,8,0)),IF(ISERROR(VLOOKUP($A42,'liste reference'!$B$6:$H$1174,7,0)),"",VLOOKUP($A42,'liste reference'!$B$6:$H$1174,7,0)),VLOOKUP($A42,'liste reference'!$A$6:$H$1174,8,0))))</f>
        <v>1577</v>
      </c>
      <c r="R42" s="484" t="n">
        <f aca="false">IF(ISTEXT(H42),"",(B42*$B$7/100)+(C42*$C$7/100))</f>
        <v>0.0419</v>
      </c>
      <c r="S42" s="485" t="n">
        <f aca="false">IF(OR(ISTEXT(H42),R42=0),"",IF(R42&lt;0.1,1,IF(R42&lt;1,2,IF(R42&lt;10,3,IF(R42&lt;50,4,IF(R42&gt;=50,5,""))))))</f>
        <v>1</v>
      </c>
      <c r="T42" s="485" t="n">
        <f aca="false">IF(ISERROR(S42*J42),0,S42*J42)</f>
        <v>10</v>
      </c>
      <c r="U42" s="485" t="n">
        <f aca="false">IF(ISERROR(S42*J42*K42),0,S42*J42*K42)</f>
        <v>10</v>
      </c>
      <c r="V42" s="501" t="n">
        <f aca="false">IF(ISERROR(S42*K42),0,S42*K42)</f>
        <v>1</v>
      </c>
      <c r="W42" s="502"/>
      <c r="X42" s="503"/>
      <c r="Y42" s="488" t="str">
        <f aca="false">IF(AND(ISNUMBER(F42),OR(A42="",A42="!!!!!!")),"!!!!!!",IF(A42="new.cod","NEWCOD",IF(AND((Z42=""),ISTEXT(A42),A42&lt;&gt;"!!!!!!"),A42,IF(Z42="","",INDEX('liste reference'!$A$6:$A$1174,Z42)))))</f>
        <v>PHAARU</v>
      </c>
      <c r="Z42" s="470" t="n">
        <f aca="false">IF(ISERROR(MATCH(A42,'liste reference'!$A$6:$A$1174,0)),IF(ISERROR(MATCH(A42,'liste reference'!$B$6:$B$1174,0)),"",(MATCH(A42,'liste reference'!$B$6:$B$1174,0))),(MATCH(A42,'liste reference'!$A$6:$A$1174,0)))</f>
        <v>707</v>
      </c>
    </row>
    <row r="43" customFormat="false" ht="12.75" hidden="false" customHeight="false" outlineLevel="0" collapsed="false">
      <c r="A43" s="489" t="s">
        <v>2260</v>
      </c>
      <c r="B43" s="490" t="n">
        <v>0.01</v>
      </c>
      <c r="C43" s="491" t="n">
        <v>0.005</v>
      </c>
      <c r="D43" s="492" t="str">
        <f aca="false">IF(ISERROR(VLOOKUP($A43,'liste reference'!$A$6:$B$1174,2,0)),IF(ISERROR(VLOOKUP($A43,'liste reference'!$B$6:$B$1174,1,0)),"",VLOOKUP($A43,'liste reference'!$B$6:$B$1174,1,0)),VLOOKUP($A43,'liste reference'!$A$6:$B$1174,2,0))</f>
        <v>Veronica anagallis-aquatica</v>
      </c>
      <c r="E43" s="493" t="e">
        <f aca="false">IF(D43="",0,VLOOKUP(D43,D$22:D42,1,0))</f>
        <v>#N/A</v>
      </c>
      <c r="F43" s="494" t="n">
        <f aca="false">IF(AND(OR(A43="",A43="!!!!!!"),B43="",C43=""),"",IF(OR(AND(B43="",C43=""),ISERROR(C43+B43)),"!!!",($B43*$B$7+$C43*$C$7)/100))</f>
        <v>0.00635</v>
      </c>
      <c r="G43" s="495" t="str">
        <f aca="false">IF(A43="","",IF(ISERROR(VLOOKUP($A43,'liste reference'!$A$6:$Q$1174,9,0)),IF(ISERROR(VLOOKUP($A43,'liste reference'!$B$6:$Q$1174,8,0)),"    -",VLOOKUP($A43,'liste reference'!$B$6:$Q$1174,8,0)),VLOOKUP($A43,'liste reference'!$A$6:$Q$1174,9,0)))</f>
        <v>PHe</v>
      </c>
      <c r="H43" s="496" t="n">
        <f aca="false">IF(A43="","x",IF(ISERROR(VLOOKUP($A43,'liste reference'!$A$6:$Q$1174,10,0)),IF(ISERROR(VLOOKUP($A43,'liste reference'!$B$6:$Q$1174,9,0)),"x",VLOOKUP($A43,'liste reference'!$B$6:$Q$1174,9,0)),VLOOKUP($A43,'liste reference'!$A$6:$Q$1174,10,0)))</f>
        <v>8</v>
      </c>
      <c r="I43" s="281" t="n">
        <f aca="false">IF(A43="","",1)</f>
        <v>1</v>
      </c>
      <c r="J43" s="497" t="n">
        <f aca="false">IF(ISNUMBER($H43),IF(ISERROR(VLOOKUP($A43,'liste reference'!$A$6:$Q$1174,6,0)),IF(ISERROR(VLOOKUP($A43,'liste reference'!$B$6:$Q$1174,5,0)),"nu",VLOOKUP($A43,'liste reference'!$B$6:$Q$1174,5,0)),VLOOKUP($A43,'liste reference'!$A$6:$Q$1174,6,0)),"nu")</f>
        <v>11</v>
      </c>
      <c r="K43" s="497" t="n">
        <f aca="false">IF(ISNUMBER($H43),IF(ISERROR(VLOOKUP($A43,'liste reference'!$A$6:$Q$1174,7,0)),IF(ISERROR(VLOOKUP($A43,'liste reference'!$B$6:$Q$1174,6,0)),"nu",VLOOKUP($A43,'liste reference'!$B$6:$Q$1174,6,0)),VLOOKUP($A43,'liste reference'!$A$6:$Q$1174,7,0)),"nu")</f>
        <v>2</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Veronica anagallis-aquatica</v>
      </c>
      <c r="M43" s="498"/>
      <c r="N43" s="498"/>
      <c r="O43" s="498"/>
      <c r="P43" s="499" t="s">
        <v>3448</v>
      </c>
      <c r="Q43" s="500" t="n">
        <f aca="false">IF(OR($A43="NEWCOD",$A43="!!!!!!"),IF(X43="","NoCod",X43),IF($A43="","",IF(ISERROR(VLOOKUP($A43,'liste reference'!$A$6:$H$1174,8,0)),IF(ISERROR(VLOOKUP($A43,'liste reference'!$B$6:$H$1174,7,0)),"",VLOOKUP($A43,'liste reference'!$B$6:$H$1174,7,0)),VLOOKUP($A43,'liste reference'!$A$6:$H$1174,8,0))))</f>
        <v>1955</v>
      </c>
      <c r="R43" s="484" t="n">
        <f aca="false">IF(ISTEXT(H43),"",(B43*$B$7/100)+(C43*$C$7/100))</f>
        <v>0.00635</v>
      </c>
      <c r="S43" s="485" t="n">
        <f aca="false">IF(OR(ISTEXT(H43),R43=0),"",IF(R43&lt;0.1,1,IF(R43&lt;1,2,IF(R43&lt;10,3,IF(R43&lt;50,4,IF(R43&gt;=50,5,""))))))</f>
        <v>1</v>
      </c>
      <c r="T43" s="485" t="n">
        <f aca="false">IF(ISERROR(S43*J43),0,S43*J43)</f>
        <v>11</v>
      </c>
      <c r="U43" s="485" t="n">
        <f aca="false">IF(ISERROR(S43*J43*K43),0,S43*J43*K43)</f>
        <v>22</v>
      </c>
      <c r="V43" s="501" t="n">
        <f aca="false">IF(ISERROR(S43*K43),0,S43*K43)</f>
        <v>2</v>
      </c>
      <c r="W43" s="502"/>
      <c r="X43" s="503"/>
      <c r="Y43" s="488" t="str">
        <f aca="false">IF(AND(ISNUMBER(F43),OR(A43="",A43="!!!!!!")),"!!!!!!",IF(A43="new.cod","NEWCOD",IF(AND((Z43=""),ISTEXT(A43),A43&lt;&gt;"!!!!!!"),A43,IF(Z43="","",INDEX('liste reference'!$A$6:$A$1174,Z43)))))</f>
        <v>VERANA</v>
      </c>
      <c r="Z43" s="470" t="n">
        <f aca="false">IF(ISERROR(MATCH(A43,'liste reference'!$A$6:$A$1174,0)),IF(ISERROR(MATCH(A43,'liste reference'!$B$6:$B$1174,0)),"",(MATCH(A43,'liste reference'!$B$6:$B$1174,0))),(MATCH(A43,'liste reference'!$A$6:$A$1174,0)))</f>
        <v>740</v>
      </c>
    </row>
    <row r="44" customFormat="false" ht="12.75" hidden="false" customHeight="false" outlineLevel="0" collapsed="false">
      <c r="A44" s="489" t="s">
        <v>2699</v>
      </c>
      <c r="B44" s="490"/>
      <c r="C44" s="491" t="n">
        <v>0.005</v>
      </c>
      <c r="D44" s="492" t="str">
        <f aca="false">IF(ISERROR(VLOOKUP($A44,'liste reference'!$A$6:$B$1174,2,0)),IF(ISERROR(VLOOKUP($A44,'liste reference'!$B$6:$B$1174,1,0)),"",VLOOKUP($A44,'liste reference'!$B$6:$B$1174,1,0)),VLOOKUP($A44,'liste reference'!$A$6:$B$1174,2,0))</f>
        <v>Lythrum salicaria</v>
      </c>
      <c r="E44" s="493" t="e">
        <f aca="false">IF(D44="",0,VLOOKUP(D44,D$22:D43,1,0))</f>
        <v>#N/A</v>
      </c>
      <c r="F44" s="494" t="n">
        <f aca="false">IF(AND(OR(A44="",A44="!!!!!!"),B44="",C44=""),"",IF(OR(AND(B44="",C44=""),ISERROR(C44+B44)),"!!!",($B44*$B$7+$C44*$C$7)/100))</f>
        <v>0.00365</v>
      </c>
      <c r="G44" s="495" t="str">
        <f aca="false">IF(A44="","",IF(ISERROR(VLOOKUP($A44,'liste reference'!$A$6:$Q$1174,9,0)),IF(ISERROR(VLOOKUP($A44,'liste reference'!$B$6:$Q$1174,8,0)),"    -",VLOOKUP($A44,'liste reference'!$B$6:$Q$1174,8,0)),VLOOKUP($A44,'liste reference'!$A$6:$Q$1174,9,0)))</f>
        <v>PHg</v>
      </c>
      <c r="H44" s="496" t="n">
        <f aca="false">IF(A44="","x",IF(ISERROR(VLOOKUP($A44,'liste reference'!$A$6:$Q$1174,10,0)),IF(ISERROR(VLOOKUP($A44,'liste reference'!$B$6:$Q$1174,9,0)),"x",VLOOKUP($A44,'liste reference'!$B$6:$Q$1174,9,0)),VLOOKUP($A44,'liste reference'!$A$6:$Q$1174,10,0)))</f>
        <v>9</v>
      </c>
      <c r="I44" s="281" t="n">
        <f aca="false">IF(A44="","",1)</f>
        <v>1</v>
      </c>
      <c r="J44" s="497" t="str">
        <f aca="false">IF(ISNUMBER($H44),IF(ISERROR(VLOOKUP($A44,'liste reference'!$A$6:$Q$1174,6,0)),IF(ISERROR(VLOOKUP($A44,'liste reference'!$B$6:$Q$1174,5,0)),"nu",VLOOKUP($A44,'liste reference'!$B$6:$Q$1174,5,0)),VLOOKUP($A44,'liste reference'!$A$6:$Q$1174,6,0)),"nu")</f>
        <v>nc</v>
      </c>
      <c r="K44" s="497" t="str">
        <f aca="false">IF(ISNUMBER($H44),IF(ISERROR(VLOOKUP($A44,'liste reference'!$A$6:$Q$1174,7,0)),IF(ISERROR(VLOOKUP($A44,'liste reference'!$B$6:$Q$1174,6,0)),"nu",VLOOKUP($A44,'liste reference'!$B$6:$Q$1174,6,0)),VLOOKUP($A44,'liste reference'!$A$6:$Q$1174,7,0)),"nu")</f>
        <v>nc</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Lythrum salicaria</v>
      </c>
      <c r="M44" s="498"/>
      <c r="N44" s="498"/>
      <c r="O44" s="498"/>
      <c r="P44" s="499" t="s">
        <v>3448</v>
      </c>
      <c r="Q44" s="500" t="n">
        <f aca="false">IF(OR($A44="NEWCOD",$A44="!!!!!!"),IF(X44="","NoCod",X44),IF($A44="","",IF(ISERROR(VLOOKUP($A44,'liste reference'!$A$6:$H$1174,8,0)),IF(ISERROR(VLOOKUP($A44,'liste reference'!$B$6:$H$1174,7,0)),"",VLOOKUP($A44,'liste reference'!$B$6:$H$1174,7,0)),VLOOKUP($A44,'liste reference'!$A$6:$H$1174,8,0))))</f>
        <v>1823</v>
      </c>
      <c r="R44" s="484" t="n">
        <f aca="false">IF(ISTEXT(H44),"",(B44*$B$7/100)+(C44*$C$7/100))</f>
        <v>0.00365</v>
      </c>
      <c r="S44" s="485" t="n">
        <f aca="false">IF(OR(ISTEXT(H44),R44=0),"",IF(R44&lt;0.1,1,IF(R44&lt;1,2,IF(R44&lt;10,3,IF(R44&lt;50,4,IF(R44&gt;=50,5,""))))))</f>
        <v>1</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LYTSAL</v>
      </c>
      <c r="Z44" s="470" t="n">
        <f aca="false">IF(ISERROR(MATCH(A44,'liste reference'!$A$6:$A$1174,0)),IF(ISERROR(MATCH(A44,'liste reference'!$B$6:$B$1174,0)),"",(MATCH(A44,'liste reference'!$B$6:$B$1174,0))),(MATCH(A44,'liste reference'!$A$6:$A$1174,0)))</f>
        <v>902</v>
      </c>
    </row>
    <row r="45" customFormat="false" ht="12.75" hidden="false" customHeight="false" outlineLevel="0" collapsed="false">
      <c r="A45" s="489" t="s">
        <v>2758</v>
      </c>
      <c r="B45" s="490" t="n">
        <v>0.005</v>
      </c>
      <c r="C45" s="491"/>
      <c r="D45" s="492" t="str">
        <f aca="false">IF(ISERROR(VLOOKUP($A45,'liste reference'!$A$6:$B$1174,2,0)),IF(ISERROR(VLOOKUP($A45,'liste reference'!$B$6:$B$1174,1,0)),"",VLOOKUP($A45,'liste reference'!$B$6:$B$1174,1,0)),VLOOKUP($A45,'liste reference'!$A$6:$B$1174,2,0))</f>
        <v>Paspalum distichum</v>
      </c>
      <c r="E45" s="493" t="e">
        <f aca="false">IF(D45="",0,VLOOKUP(D45,D$22:D44,1,0))</f>
        <v>#N/A</v>
      </c>
      <c r="F45" s="494" t="n">
        <f aca="false">IF(AND(OR(A45="",A45="!!!!!!"),B45="",C45=""),"",IF(OR(AND(B45="",C45=""),ISERROR(C45+B45)),"!!!",($B45*$B$7+$C45*$C$7)/100))</f>
        <v>0.00135</v>
      </c>
      <c r="G45" s="495" t="str">
        <f aca="false">IF(A45="","",IF(ISERROR(VLOOKUP($A45,'liste reference'!$A$6:$Q$1174,9,0)),IF(ISERROR(VLOOKUP($A45,'liste reference'!$B$6:$Q$1174,8,0)),"    -",VLOOKUP($A45,'liste reference'!$B$6:$Q$1174,8,0)),VLOOKUP($A45,'liste reference'!$A$6:$Q$1174,9,0)))</f>
        <v>PHg</v>
      </c>
      <c r="H45" s="496" t="n">
        <f aca="false">IF(A45="","x",IF(ISERROR(VLOOKUP($A45,'liste reference'!$A$6:$Q$1174,10,0)),IF(ISERROR(VLOOKUP($A45,'liste reference'!$B$6:$Q$1174,9,0)),"x",VLOOKUP($A45,'liste reference'!$B$6:$Q$1174,9,0)),VLOOKUP($A45,'liste reference'!$A$6:$Q$1174,10,0)))</f>
        <v>9</v>
      </c>
      <c r="I45" s="281" t="n">
        <f aca="false">IF(A45="","",1)</f>
        <v>1</v>
      </c>
      <c r="J45" s="497" t="str">
        <f aca="false">IF(ISNUMBER($H45),IF(ISERROR(VLOOKUP($A45,'liste reference'!$A$6:$Q$1174,6,0)),IF(ISERROR(VLOOKUP($A45,'liste reference'!$B$6:$Q$1174,5,0)),"nu",VLOOKUP($A45,'liste reference'!$B$6:$Q$1174,5,0)),VLOOKUP($A45,'liste reference'!$A$6:$Q$1174,6,0)),"nu")</f>
        <v>nc</v>
      </c>
      <c r="K45" s="497" t="str">
        <f aca="false">IF(ISNUMBER($H45),IF(ISERROR(VLOOKUP($A45,'liste reference'!$A$6:$Q$1174,7,0)),IF(ISERROR(VLOOKUP($A45,'liste reference'!$B$6:$Q$1174,6,0)),"nu",VLOOKUP($A45,'liste reference'!$B$6:$Q$1174,6,0)),VLOOKUP($A45,'liste reference'!$A$6:$Q$1174,7,0)),"nu")</f>
        <v>nc</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Paspalum distichum</v>
      </c>
      <c r="M45" s="498"/>
      <c r="N45" s="498"/>
      <c r="O45" s="498"/>
      <c r="P45" s="499" t="s">
        <v>3448</v>
      </c>
      <c r="Q45" s="500" t="n">
        <f aca="false">IF(OR($A45="NEWCOD",$A45="!!!!!!"),IF(X45="","NoCod",X45),IF($A45="","",IF(ISERROR(VLOOKUP($A45,'liste reference'!$A$6:$H$1174,8,0)),IF(ISERROR(VLOOKUP($A45,'liste reference'!$B$6:$H$1174,7,0)),"",VLOOKUP($A45,'liste reference'!$B$6:$H$1174,7,0)),VLOOKUP($A45,'liste reference'!$A$6:$H$1174,8,0))))</f>
        <v>10237</v>
      </c>
      <c r="R45" s="484" t="n">
        <f aca="false">IF(ISTEXT(H45),"",(B45*$B$7/100)+(C45*$C$7/100))</f>
        <v>0.00135</v>
      </c>
      <c r="S45" s="485" t="n">
        <f aca="false">IF(OR(ISTEXT(H45),R45=0),"",IF(R45&lt;0.1,1,IF(R45&lt;1,2,IF(R45&lt;10,3,IF(R45&lt;50,4,IF(R45&gt;=50,5,""))))))</f>
        <v>1</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PASDIS</v>
      </c>
      <c r="Z45" s="470" t="n">
        <f aca="false">IF(ISERROR(MATCH(A45,'liste reference'!$A$6:$A$1174,0)),IF(ISERROR(MATCH(A45,'liste reference'!$B$6:$B$1174,0)),"",(MATCH(A45,'liste reference'!$B$6:$B$1174,0))),(MATCH(A45,'liste reference'!$A$6:$A$1174,0)))</f>
        <v>922</v>
      </c>
    </row>
    <row r="46" customFormat="false" ht="12.75" hidden="false" customHeight="false" outlineLevel="0" collapsed="false">
      <c r="A46" s="489" t="s">
        <v>2308</v>
      </c>
      <c r="B46" s="490" t="n">
        <v>0.005</v>
      </c>
      <c r="C46" s="491"/>
      <c r="D46" s="492" t="str">
        <f aca="false">IF(ISERROR(VLOOKUP($A46,'liste reference'!$A$6:$B$1174,2,0)),IF(ISERROR(VLOOKUP($A46,'liste reference'!$B$6:$B$1174,1,0)),"",VLOOKUP($A46,'liste reference'!$B$6:$B$1174,1,0)),VLOOKUP($A46,'liste reference'!$A$6:$B$1174,2,0))</f>
        <v>Persicaria hydropiper</v>
      </c>
      <c r="E46" s="493" t="e">
        <f aca="false">IF(D46="",0,VLOOKUP(D46,D$22:D45,1,0))</f>
        <v>#N/A</v>
      </c>
      <c r="F46" s="494" t="n">
        <f aca="false">IF(AND(OR(A46="",A46="!!!!!!"),B46="",C46=""),"",IF(OR(AND(B46="",C46=""),ISERROR(C46+B46)),"!!!",($B46*$B$7+$C46*$C$7)/100))</f>
        <v>0.00135</v>
      </c>
      <c r="G46" s="495" t="str">
        <f aca="false">IF(A46="","",IF(ISERROR(VLOOKUP($A46,'liste reference'!$A$6:$Q$1174,9,0)),IF(ISERROR(VLOOKUP($A46,'liste reference'!$B$6:$Q$1174,8,0)),"    -",VLOOKUP($A46,'liste reference'!$B$6:$Q$1174,8,0)),VLOOKUP($A46,'liste reference'!$A$6:$Q$1174,9,0)))</f>
        <v>PHe</v>
      </c>
      <c r="H46" s="496" t="n">
        <f aca="false">IF(A46="","x",IF(ISERROR(VLOOKUP($A46,'liste reference'!$A$6:$Q$1174,10,0)),IF(ISERROR(VLOOKUP($A46,'liste reference'!$B$6:$Q$1174,9,0)),"x",VLOOKUP($A46,'liste reference'!$B$6:$Q$1174,9,0)),VLOOKUP($A46,'liste reference'!$A$6:$Q$1174,10,0)))</f>
        <v>9</v>
      </c>
      <c r="I46" s="281" t="n">
        <f aca="false">IF(A46="","",1)</f>
        <v>1</v>
      </c>
      <c r="J46" s="497" t="n">
        <f aca="false">IF(ISNUMBER($H46),IF(ISERROR(VLOOKUP($A46,'liste reference'!$A$6:$Q$1174,6,0)),IF(ISERROR(VLOOKUP($A46,'liste reference'!$B$6:$Q$1174,5,0)),"nu",VLOOKUP($A46,'liste reference'!$B$6:$Q$1174,5,0)),VLOOKUP($A46,'liste reference'!$A$6:$Q$1174,6,0)),"nu")</f>
        <v>8</v>
      </c>
      <c r="K46" s="497" t="n">
        <f aca="false">IF(ISNUMBER($H46),IF(ISERROR(VLOOKUP($A46,'liste reference'!$A$6:$Q$1174,7,0)),IF(ISERROR(VLOOKUP($A46,'liste reference'!$B$6:$Q$1174,6,0)),"nu",VLOOKUP($A46,'liste reference'!$B$6:$Q$1174,6,0)),VLOOKUP($A46,'liste reference'!$A$6:$Q$1174,7,0)),"nu")</f>
        <v>2</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Persicaria hydropiper</v>
      </c>
      <c r="M46" s="498"/>
      <c r="N46" s="498"/>
      <c r="O46" s="498"/>
      <c r="P46" s="499" t="s">
        <v>3448</v>
      </c>
      <c r="Q46" s="500" t="n">
        <f aca="false">IF(OR($A46="NEWCOD",$A46="!!!!!!"),IF(X46="","NoCod",X46),IF($A46="","",IF(ISERROR(VLOOKUP($A46,'liste reference'!$A$6:$H$1174,8,0)),IF(ISERROR(VLOOKUP($A46,'liste reference'!$B$6:$H$1174,7,0)),"",VLOOKUP($A46,'liste reference'!$B$6:$H$1174,7,0)),VLOOKUP($A46,'liste reference'!$A$6:$H$1174,8,0))))</f>
        <v>31021</v>
      </c>
      <c r="R46" s="484" t="n">
        <f aca="false">IF(ISTEXT(H46),"",(B46*$B$7/100)+(C46*$C$7/100))</f>
        <v>0.00135</v>
      </c>
      <c r="S46" s="485" t="n">
        <f aca="false">IF(OR(ISTEXT(H46),R46=0),"",IF(R46&lt;0.1,1,IF(R46&lt;1,2,IF(R46&lt;10,3,IF(R46&lt;50,4,IF(R46&gt;=50,5,""))))))</f>
        <v>1</v>
      </c>
      <c r="T46" s="485" t="n">
        <f aca="false">IF(ISERROR(S46*J46),0,S46*J46)</f>
        <v>8</v>
      </c>
      <c r="U46" s="485" t="n">
        <f aca="false">IF(ISERROR(S46*J46*K46),0,S46*J46*K46)</f>
        <v>16</v>
      </c>
      <c r="V46" s="501" t="n">
        <f aca="false">IF(ISERROR(S46*K46),0,S46*K46)</f>
        <v>2</v>
      </c>
      <c r="W46" s="502"/>
      <c r="X46" s="503"/>
      <c r="Y46" s="488" t="str">
        <f aca="false">IF(AND(ISNUMBER(F46),OR(A46="",A46="!!!!!!")),"!!!!!!",IF(A46="new.cod","NEWCOD",IF(AND((Z46=""),ISTEXT(A46),A46&lt;&gt;"!!!!!!"),A46,IF(Z46="","",INDEX('liste reference'!$A$6:$A$1174,Z46)))))</f>
        <v>PERHYD</v>
      </c>
      <c r="Z46" s="470" t="n">
        <f aca="false">IF(ISERROR(MATCH(A46,'liste reference'!$A$6:$A$1174,0)),IF(ISERROR(MATCH(A46,'liste reference'!$B$6:$B$1174,0)),"",(MATCH(A46,'liste reference'!$B$6:$B$1174,0))),(MATCH(A46,'liste reference'!$A$6:$A$1174,0)))</f>
        <v>756</v>
      </c>
    </row>
    <row r="47" customFormat="false" ht="12.75" hidden="false" customHeight="false" outlineLevel="0" collapsed="false">
      <c r="A47" s="489" t="s">
        <v>3252</v>
      </c>
      <c r="B47" s="490"/>
      <c r="C47" s="491" t="n">
        <v>0.005</v>
      </c>
      <c r="D47" s="492" t="str">
        <f aca="false">IF(ISERROR(VLOOKUP($A47,'liste reference'!$A$6:$B$1174,2,0)),IF(ISERROR(VLOOKUP($A47,'liste reference'!$B$6:$B$1174,1,0)),"",VLOOKUP($A47,'liste reference'!$B$6:$B$1174,1,0)),VLOOKUP($A47,'liste reference'!$A$6:$B$1174,2,0))</f>
        <v>Ranunculus repens</v>
      </c>
      <c r="E47" s="493" t="e">
        <f aca="false">IF(D47="",0,VLOOKUP(D47,D$22:D46,1,0))</f>
        <v>#N/A</v>
      </c>
      <c r="F47" s="494" t="n">
        <f aca="false">IF(AND(OR(A47="",A47="!!!!!!"),B47="",C47=""),"",IF(OR(AND(B47="",C47=""),ISERROR(C47+B47)),"!!!",($B47*$B$7+$C47*$C$7)/100))</f>
        <v>0.00365</v>
      </c>
      <c r="G47" s="495" t="str">
        <f aca="false">IF(A47="","",IF(ISERROR(VLOOKUP($A47,'liste reference'!$A$6:$Q$1174,9,0)),IF(ISERROR(VLOOKUP($A47,'liste reference'!$B$6:$Q$1174,8,0)),"    -",VLOOKUP($A47,'liste reference'!$B$6:$Q$1174,8,0)),VLOOKUP($A47,'liste reference'!$A$6:$Q$1174,9,0)))</f>
        <v>PHx</v>
      </c>
      <c r="H47" s="496" t="n">
        <f aca="false">IF(A47="","x",IF(ISERROR(VLOOKUP($A47,'liste reference'!$A$6:$Q$1174,10,0)),IF(ISERROR(VLOOKUP($A47,'liste reference'!$B$6:$Q$1174,9,0)),"x",VLOOKUP($A47,'liste reference'!$B$6:$Q$1174,9,0)),VLOOKUP($A47,'liste reference'!$A$6:$Q$1174,10,0)))</f>
        <v>10</v>
      </c>
      <c r="I47" s="281" t="n">
        <f aca="false">IF(A47="","",1)</f>
        <v>1</v>
      </c>
      <c r="J47" s="497" t="str">
        <f aca="false">IF(ISNUMBER($H47),IF(ISERROR(VLOOKUP($A47,'liste reference'!$A$6:$Q$1174,6,0)),IF(ISERROR(VLOOKUP($A47,'liste reference'!$B$6:$Q$1174,5,0)),"nu",VLOOKUP($A47,'liste reference'!$B$6:$Q$1174,5,0)),VLOOKUP($A47,'liste reference'!$A$6:$Q$1174,6,0)),"nu")</f>
        <v>nc</v>
      </c>
      <c r="K47" s="497" t="str">
        <f aca="false">IF(ISNUMBER($H47),IF(ISERROR(VLOOKUP($A47,'liste reference'!$A$6:$Q$1174,7,0)),IF(ISERROR(VLOOKUP($A47,'liste reference'!$B$6:$Q$1174,6,0)),"nu",VLOOKUP($A47,'liste reference'!$B$6:$Q$1174,6,0)),VLOOKUP($A47,'liste reference'!$A$6:$Q$1174,7,0)),"nu")</f>
        <v>nc</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Ranunculus repens</v>
      </c>
      <c r="M47" s="498"/>
      <c r="N47" s="498"/>
      <c r="O47" s="498"/>
      <c r="P47" s="499" t="s">
        <v>3449</v>
      </c>
      <c r="Q47" s="500" t="n">
        <f aca="false">IF(OR($A47="NEWCOD",$A47="!!!!!!"),IF(X47="","NoCod",X47),IF($A47="","",IF(ISERROR(VLOOKUP($A47,'liste reference'!$A$6:$H$1174,8,0)),IF(ISERROR(VLOOKUP($A47,'liste reference'!$B$6:$H$1174,7,0)),"",VLOOKUP($A47,'liste reference'!$B$6:$H$1174,7,0)),VLOOKUP($A47,'liste reference'!$A$6:$H$1174,8,0))))</f>
        <v>1910</v>
      </c>
      <c r="R47" s="484" t="n">
        <f aca="false">IF(ISTEXT(H47),"",(B47*$B$7/100)+(C47*$C$7/100))</f>
        <v>0.00365</v>
      </c>
      <c r="S47" s="485" t="n">
        <f aca="false">IF(OR(ISTEXT(H47),R47=0),"",IF(R47&lt;0.1,1,IF(R47&lt;1,2,IF(R47&lt;10,3,IF(R47&lt;50,4,IF(R47&gt;=50,5,""))))))</f>
        <v>1</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RANREP</v>
      </c>
      <c r="Z47" s="470" t="n">
        <f aca="false">IF(ISERROR(MATCH(A47,'liste reference'!$A$6:$A$1174,0)),IF(ISERROR(MATCH(A47,'liste reference'!$B$6:$B$1174,0)),"",(MATCH(A47,'liste reference'!$B$6:$B$1174,0))),(MATCH(A47,'liste reference'!$A$6:$A$1174,0)))</f>
        <v>1128</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12.47239</v>
      </c>
      <c r="G83" s="424"/>
      <c r="H83" s="424"/>
      <c r="I83" s="424"/>
      <c r="J83" s="424"/>
      <c r="K83" s="424"/>
      <c r="L83" s="424"/>
      <c r="M83" s="485"/>
      <c r="N83" s="485"/>
      <c r="O83" s="485"/>
      <c r="P83" s="485"/>
      <c r="Q83" s="485"/>
      <c r="R83" s="485"/>
      <c r="S83" s="485"/>
      <c r="T83" s="485"/>
      <c r="U83" s="485"/>
      <c r="V83" s="485" t="n">
        <f aca="false">SUM(V23:V82)</f>
        <v>37</v>
      </c>
      <c r="W83" s="485"/>
      <c r="X83" s="523"/>
      <c r="Y83" s="523"/>
      <c r="Z83" s="524"/>
    </row>
    <row r="84" customFormat="false" ht="12.75" hidden="true" customHeight="false" outlineLevel="0" collapsed="false">
      <c r="A84" s="518" t="str">
        <f aca="false">A3</f>
        <v>TECH</v>
      </c>
      <c r="B84" s="453" t="str">
        <f aca="false">C3</f>
        <v>TECH A ELNE</v>
      </c>
      <c r="C84" s="525" t="str">
        <f aca="false">A4</f>
        <v>(Date)</v>
      </c>
      <c r="D84" s="526" t="n">
        <f aca="false">IF(OR(ISERROR(SUM($U$23:$U$82)/SUM($V$23:$V$82)),F7&lt;&gt;100),-1,SUM($U$23:$U$82)/SUM($V$23:$V$82))</f>
        <v>8.94594594594595</v>
      </c>
      <c r="E84" s="527" t="n">
        <f aca="false">O13</f>
        <v>25</v>
      </c>
      <c r="F84" s="453" t="n">
        <f aca="false">O14</f>
        <v>19</v>
      </c>
      <c r="G84" s="453" t="n">
        <f aca="false">O15</f>
        <v>9</v>
      </c>
      <c r="H84" s="453" t="n">
        <f aca="false">O16</f>
        <v>9</v>
      </c>
      <c r="I84" s="453" t="n">
        <f aca="false">O17</f>
        <v>1</v>
      </c>
      <c r="J84" s="528" t="n">
        <f aca="false">O8</f>
        <v>9.26315789473684</v>
      </c>
      <c r="K84" s="529" t="n">
        <f aca="false">O9</f>
        <v>2.97077174561476</v>
      </c>
      <c r="L84" s="530" t="n">
        <f aca="false">O10</f>
        <v>4</v>
      </c>
      <c r="M84" s="530" t="n">
        <f aca="false">O11</f>
        <v>15</v>
      </c>
      <c r="N84" s="529" t="n">
        <f aca="false">P8</f>
        <v>1.57894736842105</v>
      </c>
      <c r="O84" s="529" t="n">
        <f aca="false">P9</f>
        <v>0.590788008437991</v>
      </c>
      <c r="P84" s="530" t="n">
        <f aca="false">P10</f>
        <v>1</v>
      </c>
      <c r="Q84" s="530" t="n">
        <f aca="false">P11</f>
        <v>3</v>
      </c>
      <c r="R84" s="530" t="n">
        <f aca="false">F21</f>
        <v>12.47239</v>
      </c>
      <c r="S84" s="530" t="n">
        <f aca="false">L11</f>
        <v>0</v>
      </c>
      <c r="T84" s="530" t="n">
        <f aca="false">L12</f>
        <v>9</v>
      </c>
      <c r="U84" s="530" t="n">
        <f aca="false">L13</f>
        <v>0</v>
      </c>
      <c r="V84" s="531" t="n">
        <f aca="false">L15</f>
        <v>16</v>
      </c>
      <c r="W84" s="532" t="n">
        <f aca="false">L15</f>
        <v>16</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12</v>
      </c>
      <c r="U87" s="281"/>
      <c r="V87" s="281"/>
    </row>
    <row r="88" customFormat="false" ht="12.75" hidden="true" customHeight="false" outlineLevel="0" collapsed="false">
      <c r="C88" s="534"/>
      <c r="D88" s="534"/>
      <c r="E88" s="534"/>
      <c r="R88" s="281" t="s">
        <v>3452</v>
      </c>
      <c r="S88" s="281"/>
      <c r="T88" s="536" t="n">
        <f aca="false">VLOOKUP($T$91,($A$23:$U$82),21,0)</f>
        <v>24</v>
      </c>
      <c r="U88" s="281"/>
      <c r="V88" s="281" t="n">
        <f aca="false">COUNTIF(V23:V82,T89)</f>
        <v>1</v>
      </c>
    </row>
    <row r="89" customFormat="false" ht="12.75" hidden="true" customHeight="false" outlineLevel="0" collapsed="false">
      <c r="C89" s="534"/>
      <c r="D89" s="534"/>
      <c r="E89" s="534"/>
      <c r="R89" s="281" t="s">
        <v>3453</v>
      </c>
      <c r="S89" s="281"/>
      <c r="T89" s="536" t="n">
        <f aca="false">MAX($V$23:$V$82)</f>
        <v>4</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9.3030303030303</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HYISPX</v>
      </c>
      <c r="U91" s="281" t="n">
        <f aca="false">IF(ISERROR(MATCH($T$93,'liste reference'!$A$6:$A$1174,0)),MATCH($T$93,'liste reference'!$B$6:$B$1174,0),(MATCH($T$93,'liste reference'!$A$6:$A$1174,0)))</f>
        <v>55</v>
      </c>
      <c r="V91" s="538"/>
    </row>
    <row r="92" customFormat="false" ht="12.75" hidden="true" customHeight="false" outlineLevel="0" collapsed="false">
      <c r="C92" s="534"/>
      <c r="D92" s="534"/>
      <c r="E92" s="534"/>
      <c r="R92" s="281" t="s">
        <v>3456</v>
      </c>
      <c r="S92" s="281"/>
      <c r="T92" s="281" t="n">
        <f aca="false">MATCH(T89,$V$23:$V$82,0)</f>
        <v>3</v>
      </c>
      <c r="U92" s="281"/>
    </row>
    <row r="93" customFormat="false" ht="12.75" hidden="true" customHeight="false" outlineLevel="0" collapsed="false">
      <c r="C93" s="534"/>
      <c r="D93" s="534"/>
      <c r="E93" s="534"/>
      <c r="R93" s="485" t="s">
        <v>3457</v>
      </c>
      <c r="S93" s="281"/>
      <c r="T93" s="485" t="str">
        <f aca="false">INDEX($A$23:$A$82,$T$92)</f>
        <v>HYISPX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3381</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3487</v>
      </c>
    </row>
    <row r="39" customFormat="false" ht="15" hidden="false" customHeight="false" outlineLevel="0" collapsed="false">
      <c r="A39" s="563"/>
      <c r="B39" s="566" t="s">
        <v>2983</v>
      </c>
      <c r="C39" s="567"/>
      <c r="D39" s="568"/>
      <c r="F39" s="583" t="s">
        <v>3402</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aquascop_invite</cp:lastModifiedBy>
  <cp:lastPrinted>2015-05-20T11:23:22Z</cp:lastPrinted>
  <dcterms:modified xsi:type="dcterms:W3CDTF">2017-01-23T15:21:34Z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