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69950 ROTJA a Py" sheetId="6" state="visible" r:id="rId8"/>
    <sheet name="modele" sheetId="7" state="hidden" r:id="rId9"/>
    <sheet name="liste codes réf" sheetId="8" state="hidden" r:id="rId10"/>
  </sheets>
  <definedNames>
    <definedName function="false" hidden="false" localSheetId="5" name="_xlnm.Print_Area" vbProcedure="false">'06169950 ROTJA a Py'!$A$1:$O$82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'06169950 ROTJA a Py'!$A$23:$J$84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<sst xmlns="http://schemas.openxmlformats.org/spreadsheetml/2006/main" count="7350" uniqueCount="2724">
  <si>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</si>
  <si>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</si>
  <si>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</si>
  <si>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</si>
  <si>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</si>
  <si>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</si>
  <si>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</si>
  <si>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</si>
  <si>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</si>
  <si>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</si>
  <si>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</si>
  <si>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</si>
  <si>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</si>
  <si>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</si>
  <si>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</si>
  <si>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</si>
  <si>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</si>
  <si>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</si>
  <si>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</si>
  <si>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</si>
  <si>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</si>
  <si>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</si>
  <si>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</si>
  <si>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</si>
  <si>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</si>
  <si>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</si>
  <si>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</si>
  <si>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</si>
  <si>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</si>
  <si>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</si>
  <si>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</si>
  <si>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</si>
  <si>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</si>
  <si>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</si>
  <si>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</si>
  <si>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</si>
  <si>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</si>
  <si>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</si>
  <si>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</si>
  <si>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</si>
  <si>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</si>
  <si>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</si>
  <si>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</si>
  <si>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</si>
  <si>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</si>
  <si>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</si>
  <si>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</si>
  <si>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</si>
  <si>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</si>
  <si>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</si>
  <si>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</si>
  <si>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</si>
  <si>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</si>
  <si>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</si>
  <si>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</si>
  <si>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</si>
  <si>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</si>
  <si>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</si>
  <si>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</si>
  <si>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</si>
  <si>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</si>
  <si>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</si>
  <si>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</si>
  <si>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</si>
  <si>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</si>
  <si>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</si>
  <si>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</si>
  <si>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</si>
  <si>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</si>
  <si>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</si>
  <si>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</si>
  <si>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</si>
  <si>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</si>
  <si>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</si>
  <si>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</si>
  <si>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</si>
  <si>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</si>
  <si>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</si>
  <si>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</si>
  <si>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</si>
  <si>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</si>
  <si>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</si>
  <si>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</si>
  <si>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</si>
  <si>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</si>
  <si>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</si>
  <si>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</si>
  <si>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</si>
  <si>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</si>
  <si>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</si>
  <si>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</si>
  <si>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</si>
  <si>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</si>
  <si>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</si>
  <si>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</si>
  <si>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</si>
  <si>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</si>
  <si>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</si>
  <si>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</si>
  <si>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</si>
  <si>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</si>
  <si>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</si>
  <si>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</si>
  <si>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</si>
  <si>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</si>
  <si>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</si>
  <si>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</si>
  <si>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</si>
  <si>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</si>
  <si>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</si>
  <si>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</si>
  <si>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</si>
  <si>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</si>
  <si>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</si>
  <si>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</si>
  <si>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</si>
  <si>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</si>
  <si>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</si>
  <si>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</si>
  <si>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</si>
  <si>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</si>
  <si>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</si>
  <si>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</si>
  <si>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</si>
  <si>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</si>
  <si>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</si>
  <si>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</si>
  <si>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</si>
  <si>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</si>
  <si>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</si>
  <si>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</si>
  <si>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</si>
  <si>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</si>
  <si>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</si>
  <si>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</si>
  <si>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</si>
  <si>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</si>
  <si>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</si>
  <si>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</si>
  <si>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</si>
  <si>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</si>
  <si>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</si>
  <si>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</si>
  <si>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</si>
  <si>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</si>
  <si>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</si>
  <si>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</si>
  <si>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</si>
  <si>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</si>
  <si>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</si>
  <si>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</si>
  <si>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</si>
  <si>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</si>
  <si>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</si>
  <si>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</si>
  <si>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</si>
  <si>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</si>
  <si>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</si>
  <si>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</si>
  <si>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</si>
  <si>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</si>
  <si>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</si>
  <si>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</si>
  <si>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</si>
  <si>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</si>
  <si>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</si>
  <si>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</si>
  <si>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</si>
  <si>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</si>
  <si>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</si>
  <si>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</si>
  <si>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</si>
  <si>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</si>
  <si>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</si>
  <si>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</si>
  <si>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</si>
  <si>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</si>
  <si>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</si>
  <si>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</si>
  <si>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</si>
  <si>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</si>
  <si>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</si>
  <si>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</si>
  <si>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</si>
  <si>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</si>
  <si>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</si>
  <si>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</si>
  <si>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</si>
  <si>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</si>
  <si>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</si>
  <si>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</si>
  <si>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</si>
  <si>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</si>
  <si>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</si>
  <si>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</si>
  <si>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</si>
  <si>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</si>
  <si>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</si>
  <si>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</si>
  <si>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</si>
  <si>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</si>
  <si>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</si>
  <si>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</si>
  <si>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</si>
  <si>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</si>
  <si>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</si>
  <si>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</si>
  <si>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</si>
  <si>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</si>
  <si>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</si>
  <si>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</si>
  <si>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</si>
  <si>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</si>
  <si>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</si>
  <si>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</si>
  <si>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</si>
  <si>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</si>
  <si>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</si>
  <si>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</si>
  <si>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</si>
  <si>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</si>
  <si>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</si>
  <si>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</si>
  <si>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</si>
  <si>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</si>
  <si>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</si>
  <si>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</si>
  <si>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</si>
  <si>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</si>
  <si>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</si>
  <si>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</si>
  <si>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</si>
  <si>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</si>
  <si>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</si>
  <si>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</si>
  <si>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</si>
  <si>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</si>
  <si>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</si>
  <si>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</si>
  <si>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</si>
  <si>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</si>
  <si>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</si>
  <si>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</si>
  <si>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</si>
  <si>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</si>
  <si>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</si>
  <si>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</si>
  <si>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</si>
  <si>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</si>
  <si>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</si>
  <si>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</si>
  <si>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</si>
  <si>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</si>
  <si>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</si>
  <si>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</si>
  <si>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</si>
  <si>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</si>
  <si>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</si>
  <si>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</si>
  <si>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</si>
  <si>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</si>
  <si>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</si>
  <si>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</si>
  <si>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</si>
  <si>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</si>
  <si>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</si>
  <si>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</si>
  <si>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</si>
  <si>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</si>
  <si>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</si>
  <si>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</si>
  <si>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</si>
  <si>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</si>
  <si>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</si>
  <si>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</si>
  <si>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</si>
  <si>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</si>
  <si>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</si>
  <si>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</si>
  <si>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</si>
  <si>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</si>
  <si>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</si>
  <si>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</si>
  <si>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</si>
  <si>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</si>
  <si>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</si>
  <si>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</si>
  <si>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</si>
  <si>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</si>
  <si>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</si>
  <si>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</si>
  <si>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</si>
  <si>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</si>
  <si>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</si>
  <si>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</si>
  <si>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</si>
  <si>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</si>
  <si>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</si>
  <si>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</si>
  <si>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</si>
  <si>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</si>
  <si>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</si>
  <si>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</si>
  <si>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</si>
  <si>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</si>
  <si>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</si>
  <si>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</si>
  <si>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</si>
  <si>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</si>
  <si>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</si>
  <si>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</si>
  <si>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</si>
  <si>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</si>
  <si>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</si>
  <si>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</si>
  <si>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</si>
  <si>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</si>
  <si>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</si>
  <si>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</si>
  <si>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</si>
  <si>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</si>
  <si>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</si>
  <si>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</si>
  <si>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</si>
  <si>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</si>
  <si>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</si>
  <si>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</si>
  <si>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</si>
  <si>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</si>
  <si>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</si>
  <si>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</si>
  <si>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</si>
  <si>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</si>
  <si>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</si>
  <si>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</si>
  <si>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</si>
  <si>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</si>
  <si>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</si>
  <si>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</si>
  <si>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</si>
  <si>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</si>
  <si>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</si>
  <si>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</si>
  <si>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</si>
  <si>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</si>
  <si>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</si>
  <si>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</si>
  <si>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</si>
  <si>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</si>
  <si>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</si>
  <si>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</si>
  <si>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</si>
  <si>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</si>
  <si>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</si>
  <si>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</si>
  <si>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</si>
  <si>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</si>
  <si>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</si>
  <si>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</si>
  <si>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</si>
  <si>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</si>
  <si>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</si>
  <si>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</si>
  <si>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</si>
  <si>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</si>
  <si>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</si>
  <si>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</si>
  <si>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</si>
  <si>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</si>
  <si>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</si>
  <si>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</si>
  <si>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</si>
  <si>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</si>
  <si>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</si>
  <si>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</si>
  <si>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</si>
  <si>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</si>
  <si>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</si>
  <si>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</si>
  <si>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</si>
  <si>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</si>
  <si>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</si>
  <si>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</si>
  <si>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</si>
  <si>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</si>
  <si>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</si>
  <si>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</si>
  <si>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</si>
  <si>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</si>
  <si>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</si>
  <si>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</si>
  <si>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</si>
  <si>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</si>
  <si>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</si>
  <si>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</si>
  <si>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</si>
  <si>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</si>
  <si>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</si>
  <si>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</si>
  <si>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</si>
  <si>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</si>
  <si>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</si>
  <si>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</si>
  <si>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</si>
  <si>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</si>
  <si>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</si>
  <si>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</si>
  <si>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</si>
  <si>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</si>
  <si>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</si>
  <si>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</si>
  <si>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</si>
  <si>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</si>
  <si>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</si>
  <si>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</si>
  <si>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</si>
  <si>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</si>
  <si>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</si>
  <si>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</si>
  <si>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</si>
  <si>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</si>
  <si>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</si>
  <si>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</si>
  <si>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</si>
  <si>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</si>
  <si>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</si>
  <si>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</si>
  <si>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</si>
  <si>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</si>
  <si>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</si>
  <si>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</si>
  <si>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</si>
  <si>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</si>
  <si>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</si>
  <si>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</si>
  <si>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</si>
  <si>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</si>
  <si>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</si>
  <si>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</si>
  <si>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</si>
  <si>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</si>
  <si>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</si>
  <si>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</si>
  <si>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</si>
  <si>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</si>
  <si>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</si>
  <si>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</si>
  <si>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</si>
  <si>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</si>
  <si>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</si>
  <si>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</si>
  <si>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</si>
  <si>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</si>
  <si>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</si>
  <si>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</si>
  <si>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</si>
  <si>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</si>
  <si>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</si>
  <si>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</si>
  <si>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</si>
  <si>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</si>
  <si>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</si>
  <si>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</si>
  <si>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</si>
  <si>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</si>
  <si>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</si>
  <si>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</si>
  <si>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</si>
  <si>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</si>
  <si>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</si>
  <si>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</si>
  <si>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</si>
  <si>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</si>
  <si>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</si>
  <si>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</si>
  <si>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</si>
  <si>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</si>
  <si>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</si>
  <si>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</si>
  <si>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</si>
  <si>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</si>
  <si>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</si>
  <si>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</si>
  <si>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</si>
  <si>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</si>
  <si>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</si>
  <si>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</si>
  <si>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</si>
  <si>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</si>
  <si>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</si>
  <si>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</si>
  <si>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</si>
  <si>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</si>
  <si>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</si>
  <si>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</si>
  <si>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</si>
  <si>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</si>
  <si>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</si>
  <si>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</si>
  <si>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</si>
  <si>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</si>
  <si>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</si>
  <si>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</si>
  <si>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</si>
  <si>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</si>
  <si>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</si>
  <si>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</si>
  <si>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</si>
  <si>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</si>
  <si>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</si>
  <si>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</si>
  <si>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</si>
  <si>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</si>
  <si>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</si>
  <si>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</si>
  <si>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</si>
  <si>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</si>
  <si>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</si>
  <si>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</si>
  <si>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</si>
  <si>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</si>
  <si>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</si>
  <si>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</si>
  <si>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</si>
  <si>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</si>
  <si>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</si>
  <si>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</si>
  <si>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</si>
  <si>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</si>
  <si>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</si>
  <si>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</si>
  <si>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</si>
  <si>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</si>
  <si>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</si>
  <si>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</si>
  <si>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</si>
  <si>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</si>
  <si>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</si>
  <si>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</si>
  <si>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</si>
  <si>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</si>
  <si>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</si>
  <si>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</si>
  <si>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</si>
  <si>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</si>
  <si>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</si>
  <si>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</si>
  <si>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</si>
  <si>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</si>
  <si>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</si>
  <si>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</si>
  <si>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</si>
  <si>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</si>
  <si>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</si>
  <si>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</si>
  <si>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</si>
  <si>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</si>
  <si>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</si>
  <si>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</si>
  <si>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</si>
  <si>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</si>
  <si>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</si>
  <si>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</si>
  <si>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</si>
  <si>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</si>
  <si>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</si>
  <si>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</si>
  <si>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</si>
  <si>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</si>
  <si>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</si>
  <si>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</si>
  <si>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</si>
  <si>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</si>
  <si>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</si>
  <si>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</si>
  <si>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</si>
  <si>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</si>
  <si>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</si>
  <si>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</si>
  <si>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</si>
  <si>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</si>
  <si>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</si>
  <si>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</si>
  <si>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</si>
  <si>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</si>
  <si>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</si>
  <si>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</si>
  <si>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</si>
  <si>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</si>
  <si>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</si>
  <si>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</si>
  <si>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</si>
  <si>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</si>
  <si>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</si>
  <si>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</si>
  <si>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</si>
  <si>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</si>
  <si>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</si>
  <si>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</si>
  <si>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</si>
  <si>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</si>
  <si>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</si>
  <si>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</si>
  <si>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</si>
  <si>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</si>
  <si>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</si>
  <si>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</si>
  <si>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</si>
  <si>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</si>
  <si>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</si>
  <si>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</si>
  <si>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</si>
  <si>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</si>
  <si>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</si>
  <si>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</si>
  <si>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</si>
  <si>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</si>
  <si>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</si>
  <si>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</si>
  <si>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</si>
  <si>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</si>
  <si>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</si>
  <si>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</si>
  <si>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</si>
  <si>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</si>
  <si>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</si>
  <si>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</si>
  <si>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</si>
  <si>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</si>
  <si>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</si>
  <si>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</si>
  <si>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</si>
  <si>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</si>
  <si>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</si>
  <si>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</si>
  <si>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</si>
  <si>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</si>
  <si>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</si>
  <si>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</si>
  <si>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</si>
  <si>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</si>
  <si>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</si>
  <si>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</si>
  <si>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</si>
  <si>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</si>
  <si>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</si>
  <si>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</si>
  <si>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</si>
  <si>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</si>
  <si>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</si>
  <si>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</si>
  <si>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</si>
  <si>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</si>
  <si>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</si>
  <si>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</si>
  <si>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</si>
  <si>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</si>
  <si>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</si>
  <si>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</si>
  <si>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</si>
  <si>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</si>
  <si>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</si>
  <si>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</si>
  <si>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</si>
  <si>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</si>
  <si>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</si>
  <si>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</si>
  <si>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</si>
  <si>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</si>
  <si>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</si>
  <si>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</si>
  <si>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</si>
  <si>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</si>
  <si>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</si>
  <si>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</si>
  <si>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</si>
  <si>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</si>
  <si>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</si>
  <si>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</si>
  <si>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</si>
  <si>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</si>
  <si>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</si>
  <si>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</si>
  <si>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</si>
  <si>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</si>
  <si>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</si>
  <si>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</si>
  <si>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</si>
  <si>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</si>
  <si>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</si>
  <si>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</si>
  <si>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</si>
  <si>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</si>
  <si>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</si>
  <si>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</si>
  <si>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</si>
  <si>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</si>
  <si>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</si>
  <si>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</si>
  <si>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</si>
  <si>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</si>
  <si>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</si>
  <si>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</si>
  <si>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</si>
  <si>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</si>
  <si>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</si>
  <si>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</si>
  <si>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</si>
  <si>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</si>
  <si>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</si>
  <si>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</si>
  <si>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</si>
  <si>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</si>
  <si>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</si>
  <si>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</si>
  <si>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</si>
  <si>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</si>
  <si>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</si>
  <si>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</si>
  <si>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</si>
  <si>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</si>
  <si>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</si>
  <si>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</si>
  <si>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</si>
  <si>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</si>
  <si>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</si>
  <si>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</si>
  <si>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</si>
  <si>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</si>
  <si>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</si>
  <si>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</si>
  <si>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</si>
  <si>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</si>
  <si>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</si>
  <si>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</si>
  <si>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</si>
  <si>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</si>
  <si>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</si>
  <si>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</si>
  <si>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</si>
  <si>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</si>
  <si>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</si>
  <si>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</si>
  <si>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</si>
  <si>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</si>
  <si>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</si>
  <si>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</si>
  <si>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</si>
  <si>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</si>
  <si>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</si>
  <si>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</si>
  <si>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</si>
  <si>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</si>
  <si>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</si>
  <si>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</si>
  <si>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</si>
  <si>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</si>
  <si>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</si>
  <si>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</si>
  <si>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</si>
  <si>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</si>
  <si>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</si>
  <si>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</si>
  <si>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</si>
  <si>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</si>
  <si>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</si>
  <si>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</si>
  <si>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</si>
  <si>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</si>
  <si>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</si>
  <si>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</si>
  <si>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</si>
  <si>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</si>
  <si>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</si>
  <si>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</si>
  <si>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</si>
  <si>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</si>
  <si>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</si>
  <si>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</si>
  <si>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</si>
  <si>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</si>
  <si>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</si>
  <si>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</si>
  <si>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</si>
  <si>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</si>
  <si>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</si>
  <si>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</si>
  <si>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</si>
  <si>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</si>
  <si>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</si>
  <si>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</si>
  <si>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</si>
  <si>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</si>
  <si>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</si>
  <si>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</si>
  <si>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</si>
  <si>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</si>
  <si>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</si>
  <si>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</si>
  <si>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</si>
  <si>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</si>
  <si>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</si>
  <si>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</si>
  <si>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</si>
  <si>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</si>
  <si>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</si>
  <si>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</si>
  <si>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</si>
  <si>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</si>
  <si>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</si>
  <si>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</si>
  <si>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</si>
  <si>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</si>
  <si>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</si>
  <si>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</si>
  <si>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</si>
  <si>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</si>
  <si>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</si>
  <si>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</si>
  <si>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</si>
  <si>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</si>
  <si>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</si>
  <si>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</si>
  <si>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</si>
  <si>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</si>
  <si>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</si>
  <si>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</si>
  <si>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</si>
  <si>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</si>
  <si>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</si>
  <si>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</si>
  <si>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</si>
  <si>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</si>
  <si>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</si>
  <si>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</si>
  <si>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</si>
  <si>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</si>
  <si>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</si>
  <si>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</si>
  <si>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</si>
  <si>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</si>
  <si>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</si>
  <si>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</si>
  <si>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</si>
  <si>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</si>
  <si>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</si>
  <si>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</si>
  <si>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</si>
  <si>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</si>
  <si>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</si>
  <si>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</si>
  <si>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</si>
  <si>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</si>
  <si>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</si>
  <si>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</si>
  <si>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</si>
  <si>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</si>
  <si>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</si>
  <si>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</si>
  <si>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</si>
  <si>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</si>
  <si>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</si>
  <si>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</si>
  <si>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</si>
  <si>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</si>
  <si>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</si>
  <si>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</si>
  <si>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</si>
  <si>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</si>
  <si>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</si>
  <si>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</si>
  <si>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</si>
  <si>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</si>
  <si>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</si>
  <si>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</si>
  <si>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</si>
  <si>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</si>
  <si>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</si>
  <si>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</si>
  <si>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</si>
  <si>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</si>
  <si>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</si>
  <si>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</si>
  <si>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</si>
  <si>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</si>
  <si>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</si>
  <si>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</si>
  <si>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</si>
  <si>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</si>
  <si>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</si>
  <si>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</si>
  <si>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</si>
  <si>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</si>
  <si>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</si>
  <si>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</si>
  <si>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</si>
  <si>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</si>
  <si>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</si>
  <si>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</si>
  <si>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</si>
  <si>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</si>
  <si>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</si>
  <si>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</si>
  <si>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</si>
  <si>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</si>
  <si>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</si>
  <si>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</si>
  <si>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</si>
  <si>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</si>
  <si>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</si>
  <si>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</si>
  <si>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</si>
  <si>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</si>
  <si>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</si>
  <si>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</si>
  <si>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</si>
  <si>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</si>
  <si>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</si>
  <si>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</si>
  <si>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</si>
  <si>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</si>
  <si>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</si>
  <si>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</si>
  <si>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</si>
  <si>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</si>
  <si>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</si>
  <si>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</si>
  <si>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</si>
  <si>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</si>
  <si>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</si>
  <si>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</si>
  <si>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</si>
  <si>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</si>
  <si>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</si>
  <si>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</si>
  <si>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</si>
  <si>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</si>
  <si>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</si>
  <si>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</si>
  <si>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</si>
  <si>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</si>
  <si>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</si>
  <si>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</si>
  <si>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</si>
  <si>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</si>
  <si>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</si>
  <si>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</si>
  <si>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</si>
  <si>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</si>
  <si>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</si>
  <si>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</si>
  <si>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</si>
  <si>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</si>
  <si>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</si>
  <si>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</si>
  <si>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</si>
  <si>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</si>
  <si>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</si>
  <si>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</si>
  <si>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</si>
  <si>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</si>
  <si>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</si>
  <si>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</si>
  <si>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</si>
  <si>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</si>
  <si>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</si>
  <si>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</si>
  <si>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</si>
  <si>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</si>
  <si>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</si>
  <si>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</si>
  <si>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</si>
  <si>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</si>
  <si>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</si>
  <si>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</si>
  <si>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</si>
  <si>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</si>
  <si>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</si>
  <si>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</si>
  <si>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</si>
  <si>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</si>
  <si>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</si>
  <si>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</si>
  <si>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</si>
  <si>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</si>
  <si>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</si>
  <si>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</si>
  <si>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</si>
  <si>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</si>
  <si>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</si>
  <si>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</si>
  <si>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</si>
  <si>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</si>
  <si>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</si>
  <si>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</si>
  <si>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</si>
  <si>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</si>
  <si>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</si>
  <si>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</si>
  <si>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</si>
  <si>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</si>
  <si>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</si>
  <si>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</si>
  <si>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</si>
  <si>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</si>
  <si>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</si>
  <si>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</si>
  <si>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</si>
  <si>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</si>
  <si>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</si>
  <si>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</si>
  <si>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</si>
  <si>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</si>
  <si>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</si>
  <si>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</si>
  <si>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</si>
  <si>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</si>
  <si>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</si>
  <si>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</si>
  <si>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</si>
  <si>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</si>
  <si>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</si>
  <si>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</si>
  <si>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</si>
  <si>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</si>
  <si>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</si>
  <si>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</si>
  <si>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</si>
  <si>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</si>
  <si>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</si>
  <si>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</si>
  <si>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</si>
  <si>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</si>
  <si>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</si>
  <si>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</si>
  <si>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</si>
  <si>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</si>
  <si>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</si>
  <si>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</si>
  <si>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</si>
  <si>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</si>
  <si>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</si>
  <si>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</si>
  <si>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</si>
  <si>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</si>
  <si>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</si>
  <si>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</si>
  <si>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</si>
  <si>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</si>
  <si>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</si>
  <si>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</si>
  <si>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</si>
  <si>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</si>
  <si>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</si>
  <si>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</si>
  <si>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</si>
  <si>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</si>
  <si>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</si>
  <si>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</si>
  <si>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</si>
  <si>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</si>
  <si>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</si>
  <si>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</si>
  <si>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</si>
  <si>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</si>
  <si>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</si>
  <si>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</si>
  <si>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</si>
  <si>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</si>
  <si>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</si>
  <si>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</si>
  <si>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</si>
  <si>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</si>
  <si>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</si>
  <si>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</si>
  <si>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</si>
  <si>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</si>
  <si>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</si>
  <si>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</si>
  <si>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</si>
  <si>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</si>
  <si>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</si>
  <si>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</si>
  <si>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</si>
  <si>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</si>
  <si>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</si>
  <si>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</si>
  <si>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</si>
  <si>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</si>
  <si>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</si>
  <si>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</si>
  <si>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</si>
  <si>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</si>
  <si>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</si>
  <si>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</si>
  <si>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</si>
  <si>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</si>
  <si>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</si>
  <si>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</si>
  <si>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</si>
  <si>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</si>
  <si>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</si>
  <si>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</si>
  <si>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</si>
  <si>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</si>
  <si>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</si>
  <si>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</si>
  <si>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</si>
  <si>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</si>
  <si>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</si>
  <si>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</si>
  <si>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</si>
  <si>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</si>
  <si>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</si>
  <si>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</si>
  <si>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</si>
  <si>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</si>
  <si>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</si>
  <si>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</si>
  <si>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</si>
  <si>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</si>
  <si>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</si>
  <si>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</si>
  <si>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</si>
  <si>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</si>
  <si>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</si>
  <si>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</si>
  <si>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</si>
  <si>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</si>
  <si>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</si>
  <si>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</si>
  <si>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</si>
  <si>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</si>
  <si>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</si>
  <si>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</si>
  <si>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</si>
  <si>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</si>
  <si>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</si>
  <si>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</si>
  <si>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</si>
  <si>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</si>
  <si>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</si>
  <si>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</si>
  <si>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</si>
  <si>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</si>
  <si>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</si>
  <si>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</si>
  <si>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</si>
  <si>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</si>
  <si>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</si>
  <si>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</si>
  <si>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</si>
  <si>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</si>
  <si>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</si>
  <si>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</si>
  <si>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</si>
  <si>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</si>
  <si>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</si>
  <si>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</si>
  <si>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</si>
  <si>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</si>
  <si>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</si>
  <si>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</si>
  <si>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</si>
  <si>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</si>
  <si>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</si>
  <si>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</si>
  <si>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</si>
  <si>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</si>
  <si>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</si>
  <si>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</si>
  <si>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</si>
  <si>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</si>
  <si>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</si>
  <si>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</si>
  <si>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</si>
  <si>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</si>
  <si>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</si>
  <si>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</si>
  <si>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</si>
  <si>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</si>
  <si>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</si>
  <si>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</si>
  <si>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</si>
  <si>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</si>
  <si>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</si>
  <si>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</si>
  <si>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</si>
  <si>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</si>
  <si>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</si>
  <si>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</si>
  <si>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</si>
  <si>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</si>
  <si>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</si>
  <si>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</si>
  <si>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</si>
  <si>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</si>
  <si>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</si>
  <si>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</si>
  <si>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</si>
  <si>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</si>
  <si>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</si>
  <si>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</si>
  <si>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</si>
  <si>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</si>
  <si>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</si>
  <si>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</si>
  <si>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</si>
  <si>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</si>
  <si>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</si>
  <si>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</si>
  <si>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</si>
  <si>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</si>
  <si>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</si>
  <si>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</si>
  <si>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</si>
  <si>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</si>
  <si>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</si>
  <si>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</si>
  <si>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</si>
  <si>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</si>
  <si>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</si>
  <si>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</si>
  <si>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</si>
  <si>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</si>
  <si>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</si>
  <si>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</si>
  <si>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</si>
  <si>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</si>
  <si>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</si>
  <si>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</si>
  <si>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</si>
  <si>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</si>
  <si>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</si>
  <si>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</si>
  <si>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</si>
  <si>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</si>
  <si>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</si>
  <si>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</si>
  <si>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</si>
  <si>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</si>
  <si>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</si>
  <si>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</si>
  <si>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</si>
  <si>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</si>
  <si>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</si>
  <si>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</si>
  <si>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</si>
  <si>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</si>
  <si>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</si>
  <si>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</si>
  <si>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</si>
  <si>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</si>
  <si>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</si>
  <si>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</si>
  <si>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</si>
  <si>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</si>
  <si>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</si>
  <si>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</si>
  <si>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</si>
  <si>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</si>
  <si>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</si>
  <si>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</si>
  <si>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</si>
  <si>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</si>
  <si>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</si>
  <si>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</si>
  <si>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</si>
  <si>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</si>
  <si>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</si>
  <si>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</si>
  <si>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</si>
  <si>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</si>
  <si>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</si>
  <si>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</si>
  <si>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</si>
  <si>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</si>
  <si>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</si>
  <si>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</si>
  <si>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</si>
  <si>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</si>
  <si>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</si>
  <si>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</si>
  <si>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</si>
  <si>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</si>
  <si>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</si>
  <si>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</si>
  <si>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</si>
  <si>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</si>
  <si>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</si>
  <si>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</si>
  <si>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</si>
  <si>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</si>
  <si>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</si>
  <si>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</si>
  <si>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</si>
  <si>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</si>
  <si>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</si>
  <si>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</si>
  <si>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</si>
  <si>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</si>
  <si>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</si>
  <si>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</si>
  <si>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</si>
  <si>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</si>
  <si>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</si>
  <si>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</si>
  <si>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</si>
  <si>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</si>
  <si>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</si>
  <si>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</si>
  <si>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</si>
  <si>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</si>
  <si>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</si>
  <si>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</si>
  <si>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</si>
  <si>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</si>
  <si>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</si>
  <si>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</si>
  <si>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</si>
  <si>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</si>
  <si>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</si>
  <si>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</si>
  <si>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</si>
  <si>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</si>
  <si>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</si>
  <si>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</si>
  <si>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</si>
  <si>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</si>
  <si>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</si>
  <si>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</si>
  <si>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</si>
  <si>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</si>
  <si>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</si>
  <si>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</si>
  <si>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</si>
  <si>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</si>
  <si>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</si>
  <si>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</si>
  <si>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</si>
  <si>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</si>
  <si>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</si>
  <si>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</si>
  <si>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</si>
  <si>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</si>
  <si>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</si>
  <si>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</si>
  <si>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</si>
  <si>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</si>
  <si>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</si>
  <si>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</si>
  <si>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</si>
  <si>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</si>
  <si>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</si>
  <si>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</si>
  <si>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</si>
  <si>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</si>
  <si>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</si>
  <si>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</si>
  <si>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</si>
  <si>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</si>
  <si>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</si>
  <si>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</si>
  <si>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</si>
  <si>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</si>
  <si>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</si>
  <si>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</si>
  <si>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</si>
  <si>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</si>
  <si>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</si>
  <si>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</si>
  <si>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</si>
  <si>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</si>
  <si>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</si>
  <si>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</si>
  <si>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</si>
  <si>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</si>
  <si>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</si>
  <si>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</si>
  <si>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</si>
  <si>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</si>
  <si>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</si>
  <si>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</si>
  <si>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</si>
  <si>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</si>
  <si>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</si>
  <si>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</si>
  <si>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</si>
  <si>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</si>
  <si>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</si>
  <si>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</si>
  <si>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</si>
  <si>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</si>
  <si>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</si>
  <si>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</si>
  <si>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</si>
  <si>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</si>
  <si>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</si>
  <si>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</si>
  <si>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</si>
  <si>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</si>
  <si>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</si>
  <si>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</si>
  <si>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</si>
  <si>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</si>
  <si>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</si>
  <si>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</si>
  <si>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</si>
  <si>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</si>
  <si>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</si>
  <si>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</si>
  <si>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</si>
  <si>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</si>
  <si>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</si>
  <si>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</si>
  <si>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</si>
  <si>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</si>
  <si>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</si>
  <si>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</si>
  <si>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</si>
  <si>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</si>
  <si>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</si>
  <si>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</si>
  <si>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</si>
  <si>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</si>
  <si>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</si>
  <si>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</si>
  <si>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</si>
  <si>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</si>
  <si>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</si>
  <si>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</si>
  <si>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</si>
  <si>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</si>
  <si>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</si>
  <si>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</si>
  <si>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</si>
  <si>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</si>
  <si>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</si>
  <si>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</si>
  <si>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</si>
  <si>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</si>
  <si>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</si>
  <si>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</si>
  <si>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</si>
  <si>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</si>
  <si>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</si>
  <si>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</si>
  <si>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</si>
  <si>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</si>
  <si>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</si>
  <si>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</si>
  <si>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</si>
  <si>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</si>
  <si>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</si>
  <si>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</si>
  <si>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</si>
  <si>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</si>
  <si>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</si>
  <si>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</si>
  <si>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</si>
  <si>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</si>
  <si>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</si>
  <si>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</si>
  <si>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</si>
  <si>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</si>
  <si>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</si>
  <si>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</si>
  <si>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</si>
  <si>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</si>
  <si>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</si>
  <si>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</si>
  <si>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</si>
  <si>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</si>
  <si>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</si>
  <si>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</si>
  <si>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</si>
  <si>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</si>
  <si>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</si>
  <si>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</si>
  <si>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</si>
  <si>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</si>
  <si>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</si>
  <si>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</si>
  <si>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</si>
  <si>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</si>
  <si>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</si>
  <si>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</si>
  <si>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</si>
  <si>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</si>
  <si>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</si>
  <si>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</si>
  <si>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</si>
  <si>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</si>
  <si>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</si>
  <si>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</si>
  <si>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</si>
  <si>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</si>
  <si>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</si>
  <si>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</si>
  <si>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</si>
  <si>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</si>
  <si>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</si>
  <si>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</si>
  <si>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</si>
  <si>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</si>
  <si>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</si>
  <si>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</si>
  <si>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</si>
  <si>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</si>
  <si>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</si>
  <si>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</si>
  <si>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</si>
  <si>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</si>
  <si>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</si>
  <si>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</si>
  <si>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</si>
  <si>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</si>
  <si>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</si>
  <si>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</si>
  <si>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</si>
  <si>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</si>
  <si>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</si>
  <si>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</si>
  <si>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</si>
  <si>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</si>
  <si>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</si>
  <si>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</si>
  <si>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</si>
  <si>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</si>
  <si>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</si>
  <si>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</si>
  <si>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</si>
  <si>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</si>
  <si>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</si>
  <si>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</si>
  <si>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</si>
  <si>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</si>
  <si>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</si>
  <si>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</si>
  <si>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</si>
  <si>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</si>
  <si>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</si>
  <si>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</si>
  <si>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</si>
  <si>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</si>
  <si>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</si>
  <si>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</si>
  <si>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</si>
  <si>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</si>
  <si>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</si>
  <si>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</si>
  <si>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</si>
  <si>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</si>
  <si>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</si>
  <si>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</si>
  <si>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</si>
  <si>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</si>
  <si>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</si>
  <si>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</si>
  <si>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</si>
  <si>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</si>
  <si>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</si>
  <si>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</si>
  <si>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</si>
  <si>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</si>
  <si>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</si>
  <si>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</si>
  <si>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</si>
  <si>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</si>
  <si>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</si>
  <si>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</si>
  <si>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</si>
  <si>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</si>
  <si>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</si>
  <si>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</si>
  <si>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</si>
  <si>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</si>
  <si>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</si>
  <si>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</si>
  <si>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</si>
  <si>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</si>
  <si>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</si>
  <si>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</si>
  <si>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</si>
  <si>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</si>
  <si>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</si>
  <si>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</si>
  <si>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</si>
  <si>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</si>
  <si>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</si>
  <si>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</si>
  <si>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</si>
  <si>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</si>
  <si>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</si>
  <si>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</si>
  <si>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</si>
  <si>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</si>
  <si>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</si>
  <si>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</si>
  <si>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</si>
  <si>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</si>
  <si>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</si>
  <si>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</si>
  <si>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</si>
  <si>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</si>
  <si>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</si>
  <si>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</si>
  <si>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</si>
  <si>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</si>
  <si>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</si>
  <si>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</si>
  <si>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</si>
  <si>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</si>
  <si>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</si>
  <si>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</si>
  <si>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</si>
  <si>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</si>
  <si>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</si>
  <si>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</si>
  <si>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</si>
  <si>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</si>
  <si>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</si>
  <si>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</si>
  <si>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</si>
  <si>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</si>
  <si>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</si>
  <si>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</si>
  <si>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</si>
  <si>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</si>
  <si>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</si>
  <si>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</si>
  <si>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</si>
  <si>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</si>
  <si>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</si>
  <si>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</si>
  <si>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</si>
  <si>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</si>
  <si>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</si>
  <si>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</si>
  <si>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</si>
  <si>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</si>
  <si>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</si>
  <si>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</si>
  <si>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</si>
  <si>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</si>
  <si>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</si>
  <si>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</si>
  <si>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</si>
  <si>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</si>
  <si>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</si>
  <si>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</si>
  <si>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</si>
  <si>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</si>
  <si>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</si>
  <si>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</si>
  <si>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</si>
  <si>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</si>
  <si>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</si>
  <si>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</si>
  <si>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</si>
  <si>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</si>
  <si>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</si>
  <si>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</si>
  <si>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</si>
  <si>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</si>
  <si>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</si>
  <si>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</si>
  <si>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</si>
  <si>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</si>
  <si>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</si>
  <si>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</si>
  <si>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</si>
  <si>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</si>
  <si>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</si>
  <si>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</si>
  <si>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</si>
  <si>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</si>
  <si>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</si>
  <si>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</si>
  <si>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</si>
  <si>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</si>
  <si>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</si>
  <si>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</si>
  <si>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</si>
  <si>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</si>
  <si>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</si>
  <si>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</si>
  <si>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</si>
  <si>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</si>
  <si>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</si>
  <si>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</si>
  <si>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</si>
  <si>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</si>
  <si>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</si>
  <si>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</si>
  <si>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</si>
  <si>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</si>
  <si>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</si>
  <si>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</si>
  <si>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</si>
  <si>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</si>
  <si>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</si>
  <si>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</si>
  <si>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</si>
  <si>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</si>
  <si>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</si>
  <si>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</si>
  <si>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</si>
  <si>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</si>
  <si>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</si>
  <si>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</si>
  <si>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</si>
  <si>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</si>
  <si>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</si>
  <si>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</si>
  <si>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</si>
  <si>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</si>
  <si>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</si>
  <si>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</si>
  <si>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</si>
  <si>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</si>
  <si>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</si>
  <si>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</si>
  <si>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</si>
  <si>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</si>
  <si>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</si>
  <si>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</si>
  <si>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</si>
  <si>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</si>
  <si>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</si>
  <si>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</si>
  <si>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</si>
  <si>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</si>
  <si>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</si>
  <si>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</si>
  <si>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</si>
  <si>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</si>
  <si>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</si>
  <si>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</si>
  <si>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</si>
  <si>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</si>
  <si>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</si>
  <si>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</si>
  <si>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</si>
  <si>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</si>
  <si>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</si>
  <si>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</si>
  <si>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</si>
  <si>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</si>
  <si>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</si>
  <si>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</si>
  <si>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</si>
  <si>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</si>
  <si>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</si>
  <si>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</si>
  <si>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</si>
  <si>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</si>
  <si>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</si>
  <si>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</si>
  <si>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</si>
  <si>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</si>
  <si>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</si>
  <si>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</si>
  <si>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</si>
  <si>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</si>
  <si>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</si>
  <si>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</si>
  <si>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</si>
  <si>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</si>
  <si>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</si>
  <si>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</si>
  <si>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</si>
  <si>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</si>
  <si>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</si>
  <si>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</si>
  <si>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</si>
  <si>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</si>
  <si>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</si>
  <si>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</si>
  <si>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</si>
  <si>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</si>
  <si>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</si>
  <si>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</si>
  <si>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</si>
  <si>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</si>
  <si>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</si>
  <si>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</si>
  <si>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</si>
  <si>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</si>
  <si>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</si>
  <si>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</si>
  <si>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</si>
  <si>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</si>
  <si>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</si>
  <si>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</si>
  <si>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</si>
  <si>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</si>
  <si>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</si>
  <si>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</si>
  <si>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</si>
  <si>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</si>
  <si>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</si>
  <si>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</si>
  <si>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</si>
  <si>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</si>
  <si>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</si>
  <si>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</si>
  <si>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</si>
  <si>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</si>
  <si>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</si>
  <si>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</si>
  <si>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</si>
  <si>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</si>
  <si>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</si>
  <si>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</si>
  <si>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</si>
  <si>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</si>
  <si>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</si>
  <si>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</si>
  <si>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</si>
  <si>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</si>
  <si>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</si>
  <si>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</si>
  <si>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</si>
  <si>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</si>
  <si>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</si>
  <si>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</si>
  <si>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</si>
  <si>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</si>
  <si>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</si>
  <si>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</si>
  <si>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</si>
  <si>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</si>
  <si>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</si>
  <si>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</si>
  <si>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</si>
  <si>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</si>
  <si>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</si>
  <si>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</si>
  <si>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</si>
  <si>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</si>
  <si>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</si>
  <si>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</si>
  <si>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</si>
  <si>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</si>
  <si>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</si>
  <si>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</si>
  <si>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</si>
  <si>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</si>
  <si>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</si>
  <si>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</si>
  <si>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</si>
  <si>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</si>
  <si>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</si>
  <si>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</si>
  <si>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</si>
  <si>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</si>
  <si>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</si>
  <si>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</si>
  <si>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</si>
  <si>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</si>
  <si>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</si>
  <si>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</si>
  <si>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</si>
  <si>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</si>
  <si>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</si>
  <si>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</si>
  <si>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</si>
  <si>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</si>
  <si>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</si>
  <si>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</si>
  <si>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</si>
  <si>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</si>
  <si>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</si>
  <si>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</si>
  <si>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</si>
  <si>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</si>
  <si>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</si>
  <si>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</si>
  <si>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</si>
  <si>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</si>
  <si>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</si>
  <si>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</si>
  <si>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</si>
  <si>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</si>
  <si>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</si>
  <si>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</si>
  <si>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</si>
  <si>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</si>
  <si>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</si>
  <si>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</si>
  <si>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</si>
  <si>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</si>
  <si>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</si>
  <si>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</si>
  <si>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</si>
  <si>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</si>
  <si>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</si>
  <si>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</si>
  <si>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</si>
  <si>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</si>
  <si>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</si>
  <si>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</si>
  <si>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</si>
  <si>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</si>
  <si>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</si>
  <si>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</si>
  <si>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</si>
  <si>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</si>
  <si>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</si>
  <si>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</si>
  <si>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</si>
  <si>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</si>
  <si>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</si>
  <si>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</si>
  <si>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</si>
  <si>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</si>
  <si>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</si>
  <si>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</si>
  <si>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</si>
  <si>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</si>
  <si>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</si>
  <si>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</si>
  <si>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</si>
  <si>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</si>
  <si>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</si>
  <si>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</si>
  <si>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</si>
  <si>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</si>
  <si>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</si>
  <si>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</si>
  <si>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</si>
  <si>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</si>
  <si>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</si>
  <si>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</si>
  <si>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</si>
  <si>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</si>
  <si>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</si>
  <si>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</si>
  <si>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</si>
  <si>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</si>
  <si>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</si>
  <si>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</si>
  <si>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</si>
  <si>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</si>
  <si>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</si>
  <si>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</si>
  <si>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</si>
  <si>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</si>
  <si>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</si>
  <si>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</si>
  <si>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</si>
  <si>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</si>
  <si>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</si>
  <si>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</si>
  <si>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</si>
  <si>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</si>
  <si>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</si>
  <si>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</si>
  <si>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</si>
  <si>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</si>
  <si>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</si>
  <si>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</si>
  <si>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</si>
  <si>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</si>
  <si>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</si>
  <si>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</si>
  <si>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</si>
  <si>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</si>
  <si>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</si>
  <si>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</si>
  <si>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</si>
  <si>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</si>
  <si>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</si>
  <si>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</si>
  <si>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</si>
  <si>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</si>
  <si>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</si>
  <si>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</si>
  <si>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</si>
  <si>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</si>
  <si>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</si>
  <si>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</si>
  <si>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</si>
  <si>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</si>
  <si>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</si>
  <si>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</si>
  <si>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</si>
  <si>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</si>
  <si>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</si>
  <si>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</si>
  <si>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</si>
  <si>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</si>
  <si>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</si>
  <si>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</si>
  <si>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</si>
  <si>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</si>
  <si>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</si>
  <si>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</si>
  <si>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</si>
  <si>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</si>
  <si>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</si>
  <si>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</si>
  <si>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</si>
  <si>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</si>
  <si>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</si>
  <si>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</si>
  <si>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</si>
  <si>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</si>
  <si>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</si>
  <si>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</si>
  <si>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</si>
  <si>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</si>
  <si>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</si>
  <si>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</si>
  <si>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</si>
  <si>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</si>
  <si>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</si>
  <si>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</si>
  <si>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</si>
  <si>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</si>
  <si>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</si>
  <si>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</si>
  <si>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</si>
  <si>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</si>
  <si>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</si>
  <si>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</si>
  <si>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</si>
  <si>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</si>
  <si>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</si>
  <si>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</si>
  <si>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</si>
  <si>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</si>
  <si>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</si>
  <si>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</si>
  <si>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</si>
  <si>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</si>
  <si>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</si>
  <si>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</si>
  <si>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</si>
  <si>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</si>
  <si>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</si>
  <si>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</si>
  <si>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</si>
  <si>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</si>
  <si>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</si>
  <si>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</si>
  <si>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</si>
  <si>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</si>
  <si>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</si>
  <si>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</si>
  <si>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</si>
  <si>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</si>
  <si>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</si>
  <si>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</si>
  <si>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</si>
  <si>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</si>
  <si>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</si>
  <si>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</si>
  <si>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</si>
  <si>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</si>
  <si>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</si>
  <si>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</si>
  <si>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</si>
  <si>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</si>
  <si>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</si>
  <si>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</si>
  <si>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</si>
  <si>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</si>
  <si>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</si>
  <si>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</si>
  <si>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</si>
  <si>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</si>
  <si>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</si>
  <si>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</si>
  <si>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</si>
  <si>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</si>
  <si>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</si>
  <si>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</si>
  <si>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</si>
  <si>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</si>
  <si>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</si>
  <si>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</si>
  <si>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</si>
  <si>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</si>
  <si>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</si>
  <si>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</si>
  <si>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</si>
  <si>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</si>
  <si>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</si>
  <si>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</si>
  <si>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</si>
  <si>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</si>
  <si>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</si>
  <si>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</si>
  <si>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</si>
  <si>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</si>
  <si>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</si>
  <si>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</si>
  <si>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</si>
  <si>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</si>
  <si>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</si>
  <si>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</si>
  <si>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</si>
  <si>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</si>
  <si>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</si>
  <si>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</si>
  <si>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</si>
  <si>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</si>
  <si>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</si>
  <si>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</si>
  <si>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</si>
  <si>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</si>
  <si>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</si>
  <si>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</si>
  <si>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</si>
  <si>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</si>
  <si>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</si>
  <si>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</si>
  <si>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</si>
  <si>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</si>
  <si>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</si>
  <si>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</si>
  <si>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</si>
  <si>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</si>
  <si>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</si>
  <si>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</si>
  <si>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</si>
  <si>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</si>
  <si>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</si>
  <si>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</si>
  <si>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</si>
  <si>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</si>
  <si>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</si>
  <si>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</si>
  <si>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</si>
  <si>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</si>
  <si>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</si>
  <si>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</si>
  <si>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</si>
  <si>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</si>
  <si>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</si>
  <si>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</si>
  <si>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</si>
  <si>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</si>
  <si>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</si>
  <si>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</si>
  <si>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</si>
  <si>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</si>
  <si>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</si>
  <si>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</si>
  <si>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</si>
  <si>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</si>
  <si>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</si>
  <si>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</si>
  <si>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</si>
  <si>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</si>
  <si>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</si>
  <si>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</si>
  <si>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</si>
  <si>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</si>
  <si>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</si>
  <si>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</si>
  <si>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</si>
  <si>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</si>
  <si>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</si>
  <si>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</si>
  <si>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</si>
  <si>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</si>
  <si>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</si>
  <si>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</si>
  <si>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</si>
  <si>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</si>
  <si>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</si>
  <si>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</si>
  <si>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</si>
  <si>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</si>
  <si>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</si>
  <si>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</si>
  <si>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</si>
  <si>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</si>
  <si>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</si>
  <si>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</si>
  <si>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</si>
  <si>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</si>
  <si>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</si>
  <si>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</si>
  <si>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</si>
  <si>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</si>
  <si>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</si>
  <si>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</si>
  <si>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</si>
  <si>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</si>
  <si>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</si>
  <si>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</si>
  <si>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</si>
  <si>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</si>
  <si>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</si>
  <si>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</si>
  <si>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</si>
  <si>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</si>
  <si>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</si>
  <si>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</si>
  <si>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</si>
  <si>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</si>
  <si>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</si>
  <si>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</si>
  <si>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</si>
  <si>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</si>
  <si>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</si>
  <si>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</si>
  <si>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</si>
  <si>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</si>
  <si>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</si>
  <si>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</si>
  <si>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</si>
  <si>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</si>
  <si>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</si>
  <si>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</si>
  <si>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</si>
  <si>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</si>
  <si>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</si>
  <si>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</si>
  <si>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</si>
  <si>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</si>
  <si>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</si>
  <si>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</si>
  <si>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</si>
  <si>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</si>
  <si>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</si>
  <si>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</si>
  <si>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</si>
  <si>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</si>
  <si>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</si>
  <si>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</si>
  <si>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</si>
  <si>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</si>
  <si>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</si>
  <si>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</si>
  <si>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</si>
  <si>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</si>
  <si>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</si>
  <si>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</si>
  <si>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</si>
  <si>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</si>
  <si>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</si>
  <si>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</si>
  <si>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</si>
  <si>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</si>
  <si>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</si>
  <si>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</si>
  <si>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</si>
  <si>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</si>
  <si>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</si>
  <si>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</si>
  <si>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</si>
  <si>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</si>
  <si>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</si>
  <si>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</si>
  <si>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</si>
  <si>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</si>
  <si>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</si>
  <si>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</si>
  <si>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</si>
  <si>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</si>
  <si>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</si>
  <si>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</si>
  <si>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</si>
  <si>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</si>
  <si>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</si>
  <si>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</si>
  <si>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</si>
  <si>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</si>
  <si>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</si>
  <si>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</si>
  <si>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</si>
  <si>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</si>
  <si>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</si>
  <si>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</si>
  <si>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</si>
  <si>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</si>
  <si>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</si>
  <si>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</si>
  <si>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</si>
  <si>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</si>
  <si>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</si>
  <si>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</si>
  <si>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</si>
  <si>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</si>
  <si>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</si>
  <si>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</si>
  <si>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</si>
  <si>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</si>
  <si>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</si>
  <si>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</si>
  <si>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</si>
  <si>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</si>
  <si>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</si>
  <si>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</si>
  <si>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</si>
  <si>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</si>
  <si>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</si>
  <si>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</si>
  <si>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</si>
  <si>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</si>
  <si>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</si>
  <si>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</si>
  <si>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</si>
  <si>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</si>
  <si>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</si>
  <si>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</si>
  <si>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</si>
  <si>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</si>
  <si>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</si>
  <si>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</si>
  <si>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</si>
  <si>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</si>
  <si>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</si>
  <si>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</si>
  <si>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</si>
  <si>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</si>
  <si>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</si>
  <si>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</si>
  <si>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</si>
  <si>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</si>
  <si>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</si>
  <si>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</si>
  <si>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</si>
  <si>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</si>
  <si>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</si>
  <si>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</si>
  <si>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</si>
  <si>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</si>
  <si>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</si>
  <si>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</si>
  <si>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</si>
  <si>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</si>
  <si>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</si>
  <si>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</si>
  <si>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</si>
  <si>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</si>
  <si>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</si>
  <si>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</si>
  <si>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</si>
  <si>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</si>
  <si>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</si>
  <si>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</si>
  <si>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</si>
  <si>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</si>
  <si>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</si>
  <si>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</si>
  <si>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</si>
  <si>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</si>
  <si>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</si>
  <si>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</si>
  <si>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</si>
  <si>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</si>
  <si>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</si>
  <si>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</si>
  <si>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</si>
  <si>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</si>
  <si>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</si>
  <si>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</si>
  <si>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</si>
  <si>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</si>
  <si>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</si>
  <si>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</si>
  <si>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</si>
  <si>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</si>
  <si>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</si>
  <si>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</si>
  <si>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</si>
  <si>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</si>
  <si>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</si>
  <si>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</si>
  <si>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</si>
  <si>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</si>
  <si>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</si>
  <si>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</si>
  <si>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</si>
  <si>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</si>
  <si>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</si>
  <si>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</si>
  <si>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</si>
  <si>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</si>
  <si>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</si>
  <si>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</si>
  <si>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</si>
  <si>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</si>
  <si>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</si>
  <si>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</si>
  <si>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</si>
  <si>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</si>
  <si>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</si>
  <si>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</si>
  <si>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</si>
  <si>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</si>
  <si>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</si>
  <si>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</si>
  <si>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</si>
  <si>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</si>
  <si>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</si>
  <si>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</si>
  <si>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</si>
  <si>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</si>
  <si>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</si>
  <si>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</si>
  <si>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</si>
  <si>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</si>
  <si>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</si>
  <si>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</si>
  <si>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</si>
  <si>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</si>
  <si>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</si>
  <si>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</si>
  <si>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</si>
  <si>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</si>
  <si>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</si>
  <si>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</si>
  <si>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</si>
  <si>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</si>
  <si>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</si>
  <si>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</si>
  <si>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</si>
  <si>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</si>
  <si>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</si>
  <si>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</si>
  <si>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</si>
  <si>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</si>
  <si>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</si>
  <si>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</si>
  <si>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</si>
  <si>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</si>
  <si>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</si>
  <si>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</si>
  <si>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</si>
  <si>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</si>
  <si>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</si>
  <si>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</si>
  <si>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</si>
  <si>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</si>
  <si>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</si>
  <si>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</si>
  <si>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</si>
  <si>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</si>
  <si>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</si>
  <si>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</si>
  <si>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</si>
  <si>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</si>
  <si>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</si>
  <si>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</si>
  <si>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</si>
  <si>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</si>
  <si>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</si>
  <si>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</si>
  <si>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</si>
  <si>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</si>
  <si>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</si>
  <si>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</si>
  <si>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</si>
  <si>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</si>
  <si>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</si>
  <si>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</si>
  <si>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</si>
  <si>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</si>
  <si>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</si>
  <si>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</si>
  <si>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</si>
  <si>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</si>
  <si>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</si>
  <si>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</si>
  <si>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</si>
  <si>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</si>
  <si>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</si>
  <si>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</si>
  <si>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</si>
  <si>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</si>
  <si>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</si>
  <si>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</si>
  <si>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</si>
  <si>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</si>
  <si>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</si>
  <si>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</si>
  <si>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</si>
  <si>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</si>
  <si>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</si>
  <si>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</si>
  <si>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</si>
  <si>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</si>
  <si>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</si>
  <si>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</si>
  <si>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</si>
  <si>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</si>
  <si>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</si>
  <si>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</si>
  <si>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</si>
  <si>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</si>
  <si>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</si>
  <si>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</si>
  <si>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</si>
  <si>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</si>
  <si>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</si>
  <si>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</si>
  <si>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</si>
  <si>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</si>
  <si>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</si>
  <si>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</si>
  <si>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</si>
  <si>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</si>
  <si>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</si>
  <si>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</si>
  <si>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</si>
  <si>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</si>
  <si>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</si>
  <si>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</si>
  <si>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</si>
  <si>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</si>
  <si>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</si>
  <si>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</si>
  <si>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</si>
  <si>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</si>
  <si>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</si>
  <si>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</si>
  <si>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</si>
  <si>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</si>
  <si>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</si>
  <si>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</si>
  <si>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</si>
  <si>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</si>
  <si>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</si>
  <si>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</si>
  <si>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</si>
  <si>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</si>
  <si>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</si>
  <si>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</si>
  <si>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</si>
  <si>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</si>
  <si>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</si>
  <si>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</si>
  <si>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</si>
  <si>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</si>
  <si>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</si>
  <si>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</si>
  <si>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</si>
  <si>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</si>
  <si>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</si>
  <si>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</si>
  <si>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</si>
  <si>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</si>
  <si>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</si>
  <si>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</si>
  <si>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</si>
  <si>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</si>
  <si>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</si>
  <si>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</si>
  <si>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</si>
  <si>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</si>
  <si>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</si>
  <si>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</si>
  <si>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</si>
  <si>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</si>
  <si>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</si>
  <si>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</si>
  <si>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</si>
  <si>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</si>
  <si>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</si>
  <si>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</si>
  <si>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</si>
  <si>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</si>
  <si>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</si>
  <si>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</si>
  <si>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</si>
  <si>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</si>
  <si>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</si>
  <si>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</si>
  <si>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</si>
  <si>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</si>
  <si>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</si>
  <si>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</si>
  <si>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</si>
  <si>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</si>
  <si>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</si>
  <si>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</si>
  <si>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</si>
  <si>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</si>
  <si>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</si>
  <si>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</si>
  <si>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</si>
  <si>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</si>
  <si>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</si>
  <si>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</si>
  <si>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</si>
  <si>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</si>
  <si>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</si>
  <si>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</si>
  <si>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</si>
  <si>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</si>
  <si>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</si>
  <si>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</si>
  <si>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</si>
  <si>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</si>
  <si>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</si>
  <si>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</si>
  <si>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</si>
  <si>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</si>
  <si>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</si>
  <si>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</si>
  <si>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</si>
  <si>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</si>
  <si>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</si>
  <si>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</si>
  <si>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</si>
  <si>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M. BERTHELOT</t>
  </si>
  <si>
    <t xml:space="preserve">conforme AFNOR T90-395 oct. 2003</t>
  </si>
  <si>
    <t xml:space="preserve">ROTJA</t>
  </si>
  <si>
    <t xml:space="preserve">Py</t>
  </si>
  <si>
    <t xml:space="preserve">06169950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</si>
  <si>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</si>
  <si>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</si>
  <si>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</si>
  <si>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</si>
  <si>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</si>
  <si>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</si>
  <si>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</si>
  <si>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</si>
  <si>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</si>
  <si>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</si>
  <si>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</si>
  <si>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</si>
  <si>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</si>
  <si>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</si>
  <si>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</si>
  <si>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</si>
  <si>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</si>
  <si>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</si>
  <si>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</si>
  <si>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</si>
  <si>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</si>
  <si>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</si>
  <si>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</si>
  <si>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</si>
  <si>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</si>
  <si>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</si>
  <si>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</si>
  <si>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</si>
  <si>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</si>
  <si>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</si>
  <si>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</si>
  <si>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</si>
  <si>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</si>
  <si>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</si>
  <si>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</si>
  <si>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</si>
  <si>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</si>
  <si>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</si>
  <si>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</si>
  <si>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</si>
  <si>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</si>
  <si>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</si>
  <si>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</si>
  <si>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</si>
  <si>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</si>
  <si>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</si>
  <si>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</si>
  <si>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</si>
  <si>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</si>
  <si>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</si>
  <si>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(1,95005 %)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</si>
  <si>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</si>
  <si>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</si>
  <si>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</si>
  <si>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</si>
  <si>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</si>
  <si>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</si>
  <si>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</si>
  <si>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</si>
  <si>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</si>
  <si>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</si>
  <si>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</si>
  <si>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</si>
  <si>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</si>
  <si>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</si>
  <si>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</si>
  <si>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</si>
  <si>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</si>
  <si>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</si>
  <si>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</si>
  <si>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Cardamine raphanifolia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</si>
  <si>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</si>
  <si>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</si>
  <si>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</si>
  <si>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</si>
  <si>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</si>
  <si>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</si>
  <si>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</si>
  <si>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</si>
  <si>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</si>
  <si>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</si>
  <si>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</si>
  <si>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</si>
  <si>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</si>
  <si>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</si>
  <si>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</si>
  <si>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</si>
  <si>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</si>
  <si>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</si>
  <si>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</si>
  <si>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</si>
  <si>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</si>
  <si>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</si>
  <si>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</si>
  <si>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</si>
  <si>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</si>
  <si>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</si>
  <si>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</si>
  <si>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</si>
  <si>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</si>
  <si>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</si>
  <si>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</si>
  <si>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</si>
  <si>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</si>
  <si>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abondant</t>
  </si>
  <si>
    <t xml:space="preserve">très 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</si>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</sst>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7" borderId="74" xfId="0" applyFont="true" applyBorder="true" applyAlignment="true" applyProtection="true">
      <alignment horizontal="right" vertical="top" textRotation="0" wrapText="false" indent="0" shrinkToFit="false"/>
      <protection locked="true" hidden="true"/>
    </xf>
    <xf numFmtId="172" fontId="44" fillId="27" borderId="75" xfId="0" applyFont="true" applyBorder="true" applyAlignment="true" applyProtection="true">
      <alignment horizontal="left" vertical="top" textRotation="0" wrapText="false" indent="0" shrinkToFit="false"/>
      <protection locked="true" hidden="true"/>
    </xf>
    <xf numFmtId="172" fontId="71" fillId="27" borderId="67" xfId="0" applyFont="true" applyBorder="true" applyAlignment="true" applyProtection="true">
      <alignment horizontal="left" vertical="top" textRotation="0" wrapText="false" indent="0" shrinkToFit="false"/>
      <protection locked="true" hidden="true"/>
    </xf>
    <xf numFmtId="172" fontId="37" fillId="27"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7" borderId="78" xfId="0" applyFont="true" applyBorder="true" applyAlignment="true" applyProtection="true">
      <alignment horizontal="left" vertical="bottom" textRotation="0" wrapText="false" indent="0" shrinkToFit="false"/>
      <protection locked="true" hidden="true"/>
    </xf>
    <xf numFmtId="164" fontId="43" fillId="27" borderId="79" xfId="0" applyFont="true" applyBorder="true" applyAlignment="true" applyProtection="true">
      <alignment horizontal="right" vertical="top" textRotation="0" wrapText="false" indent="0" shrinkToFit="false"/>
      <protection locked="true" hidden="true"/>
    </xf>
    <xf numFmtId="164" fontId="108" fillId="27"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3"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5" fillId="17" borderId="76"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4"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4" fontId="116"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3" fontId="116"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6" fillId="20" borderId="48" xfId="0" applyFont="true" applyBorder="true" applyAlignment="true" applyProtection="false">
      <alignment horizontal="right" vertical="bottom" textRotation="0" wrapText="false" indent="0" shrinkToFit="false"/>
      <protection locked="true" hidden="false"/>
    </xf>
    <xf numFmtId="173" fontId="37" fillId="22" borderId="45" xfId="0" applyFont="true" applyBorder="true" applyAlignment="tru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3"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1563480</xdr:colOff>
      <xdr:row>9</xdr:row>
      <xdr:rowOff>3960</xdr:rowOff>
    </xdr:to>
    <xdr:grpSp>
      <xdr:nvGrpSpPr>
        <xdr:cNvPr id="6" name="Group 25"/>
        <xdr:cNvGrpSpPr/>
      </xdr:nvGrpSpPr>
      <xdr:grpSpPr>
        <a:xfrm>
          <a:off x="7954920" y="1076400"/>
          <a:ext cx="1553760" cy="480240"/>
          <a:chOff x="7954920" y="1076400"/>
          <a:chExt cx="155376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41108</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13.875</v>
      </c>
      <c r="M5" s="324"/>
      <c r="N5" s="325" t="s">
        <v>671</v>
      </c>
      <c r="O5" s="326" t="n">
        <v>13.2</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73</v>
      </c>
      <c r="C7" s="338" t="n">
        <v>27</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6.90909090909091</v>
      </c>
      <c r="O8" s="355" t="n">
        <f aca="false">IF(ISERROR(AVERAGE(J23:J82)),"      -",AVERAGE(J23:J82))</f>
        <v>0.818181818181818</v>
      </c>
      <c r="P8" s="356"/>
      <c r="Q8" s="281"/>
      <c r="R8" s="281"/>
      <c r="S8" s="281"/>
      <c r="T8" s="281"/>
      <c r="U8" s="281"/>
      <c r="V8" s="281"/>
      <c r="W8" s="293"/>
      <c r="X8" s="294"/>
    </row>
    <row r="9" customFormat="false" ht="13.5" hidden="false" customHeight="false" outlineLevel="0" collapsed="false">
      <c r="A9" s="314" t="s">
        <v>2636</v>
      </c>
      <c r="B9" s="357" t="n">
        <v>2.5</v>
      </c>
      <c r="C9" s="358" t="n">
        <v>0.35</v>
      </c>
      <c r="D9" s="359"/>
      <c r="E9" s="359"/>
      <c r="F9" s="360" t="n">
        <f aca="false">($B9*$B$7+$C9*$C$7)/100</f>
        <v>1.9195</v>
      </c>
      <c r="G9" s="361"/>
      <c r="H9" s="362"/>
      <c r="I9" s="363"/>
      <c r="J9" s="364"/>
      <c r="K9" s="344"/>
      <c r="L9" s="365"/>
      <c r="M9" s="354" t="s">
        <v>2637</v>
      </c>
      <c r="N9" s="355" t="n">
        <f aca="false">IF(ISERROR(STDEVP(I23:I82)),"     -",STDEVP(I23:I82))</f>
        <v>6.50111242864768</v>
      </c>
      <c r="O9" s="355" t="n">
        <f aca="false">IF(ISERROR(STDEVP(J23:J82)),"      -",STDEVP(J23:J82))</f>
        <v>0.833195580901062</v>
      </c>
      <c r="P9" s="356"/>
      <c r="Q9" s="281"/>
      <c r="R9" s="281"/>
      <c r="S9" s="281"/>
      <c r="T9" s="281"/>
      <c r="U9" s="281"/>
      <c r="V9" s="281"/>
      <c r="W9" s="366"/>
      <c r="X9" s="367"/>
    </row>
    <row r="10" customFormat="false" ht="13.5" hidden="false" customHeight="false" outlineLevel="0" collapsed="false">
      <c r="A10" s="368" t="s">
        <v>2638</v>
      </c>
      <c r="B10" s="369" t="s">
        <v>2639</v>
      </c>
      <c r="C10" s="370" t="s">
        <v>2639</v>
      </c>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15</v>
      </c>
      <c r="O11" s="377" t="n">
        <f aca="false">MAX(J23:J82)</f>
        <v>2</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3</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4</v>
      </c>
      <c r="L13" s="387"/>
      <c r="M13" s="398" t="s">
        <v>2649</v>
      </c>
      <c r="N13" s="399" t="n">
        <f aca="false">COUNTIF(F23:F82,"&gt;0")</f>
        <v>12</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0</v>
      </c>
      <c r="L14" s="387"/>
      <c r="M14" s="402" t="s">
        <v>2652</v>
      </c>
      <c r="N14" s="403" t="n">
        <f aca="false">COUNTIF($I$23:$I$82,"&gt;-1")</f>
        <v>11</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4</v>
      </c>
      <c r="L15" s="387"/>
      <c r="M15" s="408" t="s">
        <v>2655</v>
      </c>
      <c r="N15" s="409" t="n">
        <f aca="false">COUNTIF(J23:J82,"=1")</f>
        <v>3</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3</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2.54</v>
      </c>
      <c r="C20" s="437" t="n">
        <f aca="false">SUM(C23:C82)</f>
        <v>0.355</v>
      </c>
      <c r="D20" s="438"/>
      <c r="E20" s="439" t="s">
        <v>2661</v>
      </c>
      <c r="F20" s="440" t="n">
        <f aca="false">($B20*$B$7+$C20*$C$7)/100</f>
        <v>1.95005</v>
      </c>
      <c r="G20" s="441"/>
      <c r="H20" s="442"/>
      <c r="I20" s="443"/>
      <c r="J20" s="443"/>
      <c r="K20" s="444"/>
      <c r="L20" s="318"/>
      <c r="M20" s="445"/>
      <c r="N20" s="445"/>
      <c r="O20" s="446"/>
      <c r="P20" s="447"/>
      <c r="Q20" s="448" t="s">
        <v>2663</v>
      </c>
      <c r="R20" s="281"/>
      <c r="S20" s="281"/>
      <c r="T20" s="281"/>
      <c r="U20" s="281"/>
      <c r="V20" s="281"/>
      <c r="W20" s="421" t="s">
        <v>2664</v>
      </c>
    </row>
    <row r="21" customFormat="false" ht="12.75" hidden="false" customHeight="false" outlineLevel="0" collapsed="false">
      <c r="A21" s="449" t="s">
        <v>2665</v>
      </c>
      <c r="B21" s="450" t="n">
        <f aca="false">B20*B7/100</f>
        <v>1.8542</v>
      </c>
      <c r="C21" s="450" t="n">
        <f aca="false">C20*C7/100</f>
        <v>0.09585</v>
      </c>
      <c r="D21" s="382" t="str">
        <f aca="false">IF(F21=0,"",IF((ABS(F21-F19))&gt;(0.2*F21),CONCATENATE(" rec. par taxa (",F21," %) supérieur à 20 % !"),""))</f>
        <v> rec. par taxa (1,95005 %) supérieur à 20 % !</v>
      </c>
      <c r="E21" s="451" t="str">
        <f aca="false">IF(F21=0,"",IF((ABS(F21-F19))&gt;(0.2*F21),CONCATENATE("ATTENTION : écart entre rec. par grp (",F19," %) ","et",""),""))</f>
        <v>ATTENTION : écart entre rec. par grp (0 %) et</v>
      </c>
      <c r="F21" s="452" t="n">
        <f aca="false">B21+C21</f>
        <v>1.95005</v>
      </c>
      <c r="G21" s="453"/>
      <c r="H21" s="382"/>
      <c r="I21" s="454"/>
      <c r="J21" s="454"/>
      <c r="K21" s="455"/>
      <c r="L21" s="455"/>
      <c r="M21" s="456"/>
      <c r="N21" s="456"/>
      <c r="O21" s="457"/>
      <c r="P21" s="458"/>
      <c r="Q21" s="459" t="s">
        <v>2666</v>
      </c>
      <c r="R21" s="281"/>
      <c r="S21" s="281"/>
      <c r="T21" s="281"/>
      <c r="U21" s="281"/>
      <c r="V21" s="281"/>
      <c r="W21" s="421" t="s">
        <v>2667</v>
      </c>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t="s">
        <v>154</v>
      </c>
      <c r="B23" s="476" t="n">
        <v>0.25</v>
      </c>
      <c r="C23" s="477"/>
      <c r="D23" s="478" t="str">
        <f aca="false">IF(ISERROR(VLOOKUP($A23,'liste reference'!$A$7:$D$904,2,0)),IF(ISERROR(VLOOKUP($A23,'liste reference'!$B$7:$D$904,1,0)),"",VLOOKUP($A23,'liste reference'!$B$7:$D$904,1,0)),VLOOKUP($A23,'liste reference'!$A$7:$D$904,2,0))</f>
        <v>Lemanea sp.</v>
      </c>
      <c r="E23" s="478" t="e">
        <f aca="false">IF(D23="",0,VLOOKUP(D23,D$22:D22,1,0))</f>
        <v>#N/A</v>
      </c>
      <c r="F23" s="479" t="n">
        <f aca="false">($B23*$B$7+$C23*$C$7)/100</f>
        <v>0.1825</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15</v>
      </c>
      <c r="J23" s="482" t="n">
        <f aca="false">IF(ISNUMBER(H23),IF(ISERROR(VLOOKUP($A23,'liste reference'!$A$7:$P$904,4,0)),IF(ISERROR(VLOOKUP($A23,'liste reference'!$B$7:$P$904,3,0)),"",VLOOKUP($A23,'liste reference'!$B$7:$P$904,3,0)),VLOOKUP($A23,'liste reference'!$A$7:$P$904,4,0)),"")</f>
        <v>2</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1159</v>
      </c>
      <c r="Q23" s="487" t="n">
        <f aca="false">IF(ISTEXT(H23),"",(B23*$B$7/100)+(C23*$C$7/100))</f>
        <v>0.1825</v>
      </c>
      <c r="R23" s="488" t="n">
        <f aca="false">IF(OR(ISTEXT(H23),Q23=0),"",IF(Q23&lt;0.1,1,IF(Q23&lt;1,2,IF(Q23&lt;10,3,IF(Q23&lt;50,4,IF(Q23&gt;=50,5,""))))))</f>
        <v>2</v>
      </c>
      <c r="S23" s="488" t="n">
        <f aca="false">IF(ISERROR(R23*I23),0,R23*I23)</f>
        <v>30</v>
      </c>
      <c r="T23" s="488" t="n">
        <f aca="false">IF(ISERROR(R23*I23*J23),0,R23*I23*J23)</f>
        <v>60</v>
      </c>
      <c r="U23" s="488" t="n">
        <f aca="false">IF(ISERROR(R23*J23),0,R23*J23)</f>
        <v>4</v>
      </c>
      <c r="V23" s="489" t="str">
        <f aca="false">IF(AND(A23="",F23=0),"",IF(F23=0,"Il manque le(s) % de rec. !",""))</f>
        <v/>
      </c>
      <c r="W23" s="490"/>
      <c r="Y23" s="491" t="str">
        <f aca="false">IF(A23="new.cod","NEWCOD",IF(AND((Z23=""),ISTEXT(A23)),A23,IF(Z23="","",INDEX('liste reference'!$A$8:$A$904,Z23))))</f>
        <v>LEASPX</v>
      </c>
      <c r="Z23" s="281" t="n">
        <f aca="false">IF(ISERROR(MATCH(A23,'liste reference'!$A$8:$A$904,0)),IF(ISERROR(MATCH(A23,'liste reference'!$B$8:$B$904,0)),"",(MATCH(A23,'liste reference'!$B$8:$B$904,0))),(MATCH(A23,'liste reference'!$A$8:$A$904,0)))</f>
        <v>34</v>
      </c>
      <c r="AA23" s="492"/>
      <c r="AB23" s="493"/>
      <c r="AC23" s="493"/>
      <c r="BB23" s="281" t="n">
        <f aca="false">IF(A23="","",1)</f>
        <v>1</v>
      </c>
    </row>
    <row r="24" customFormat="false" ht="12.75" hidden="false" customHeight="false" outlineLevel="0" collapsed="false">
      <c r="A24" s="494" t="s">
        <v>248</v>
      </c>
      <c r="B24" s="495" t="n">
        <v>0.5</v>
      </c>
      <c r="C24" s="496" t="n">
        <v>0.06</v>
      </c>
      <c r="D24" s="478" t="str">
        <f aca="false">IF(ISERROR(VLOOKUP($A24,'liste reference'!$A$7:$D$904,2,0)),IF(ISERROR(VLOOKUP($A24,'liste reference'!$B$7:$D$904,1,0)),"",VLOOKUP($A24,'liste reference'!$B$7:$D$904,1,0)),VLOOKUP($A24,'liste reference'!$A$7:$D$904,2,0))</f>
        <v>Schizothrix sp.</v>
      </c>
      <c r="E24" s="497" t="e">
        <f aca="false">IF(D24="",0,VLOOKUP(D24,D$15:D23,1,0))</f>
        <v>#N/A</v>
      </c>
      <c r="F24" s="498" t="n">
        <f aca="false">($B24*$B$7+$C24*$C$7)/100</f>
        <v>0.3812</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0</v>
      </c>
      <c r="J24" s="482" t="n">
        <f aca="false">IF(ISNUMBER(H24),IF(ISERROR(VLOOKUP($A24,'liste reference'!$A$7:$P$904,4,0)),IF(ISERROR(VLOOKUP($A24,'liste reference'!$B$7:$P$904,3,0)),"",VLOOKUP($A24,'liste reference'!$B$7:$P$904,3,0)),VLOOKUP($A24,'liste reference'!$A$7:$P$904,4,0)),"")</f>
        <v>0</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Schizothrix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6436</v>
      </c>
      <c r="Q24" s="487" t="n">
        <f aca="false">IF(ISTEXT(H24),"",(B24*$B$7/100)+(C24*$C$7/100))</f>
        <v>0.3812</v>
      </c>
      <c r="R24" s="488" t="n">
        <f aca="false">IF(OR(ISTEXT(H24),Q24=0),"",IF(Q24&lt;0.1,1,IF(Q24&lt;1,2,IF(Q24&lt;10,3,IF(Q24&lt;50,4,IF(Q24&gt;=50,5,""))))))</f>
        <v>2</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SCZSPX</v>
      </c>
      <c r="Z24" s="281" t="n">
        <f aca="false">IF(ISERROR(MATCH(A24,'liste reference'!$A$8:$A$904,0)),IF(ISERROR(MATCH(A24,'liste reference'!$B$8:$B$904,0)),"",(MATCH(A24,'liste reference'!$B$8:$B$904,0))),(MATCH(A24,'liste reference'!$A$8:$A$904,0)))</f>
        <v>65</v>
      </c>
      <c r="AA24" s="492"/>
      <c r="AB24" s="493"/>
      <c r="AC24" s="493"/>
      <c r="BB24" s="281" t="n">
        <f aca="false">IF(A24="","",1)</f>
        <v>1</v>
      </c>
    </row>
    <row r="25" customFormat="false" ht="12.75" hidden="false" customHeight="false" outlineLevel="0" collapsed="false">
      <c r="A25" s="494" t="s">
        <v>258</v>
      </c>
      <c r="B25" s="495"/>
      <c r="C25" s="496" t="n">
        <v>0.005</v>
      </c>
      <c r="D25" s="478" t="str">
        <f aca="false">IF(ISERROR(VLOOKUP($A25,'liste reference'!$A$7:$D$904,2,0)),IF(ISERROR(VLOOKUP($A25,'liste reference'!$B$7:$D$904,1,0)),"",VLOOKUP($A25,'liste reference'!$B$7:$D$904,1,0)),VLOOKUP($A25,'liste reference'!$A$7:$D$904,2,0))</f>
        <v>Spirogyra sp.</v>
      </c>
      <c r="E25" s="497" t="e">
        <f aca="false">IF(D25="",0,VLOOKUP(D25,D$22:D24,1,0))</f>
        <v>#N/A</v>
      </c>
      <c r="F25" s="498" t="n">
        <f aca="false">($B25*$B$7+$C25*$C$7)/100</f>
        <v>0.00135</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10</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Spirogyra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1147</v>
      </c>
      <c r="Q25" s="487" t="n">
        <f aca="false">IF(ISTEXT(H25),"",(B25*$B$7/100)+(C25*$C$7/100))</f>
        <v>0.00135</v>
      </c>
      <c r="R25" s="488" t="n">
        <f aca="false">IF(OR(ISTEXT(H25),Q25=0),"",IF(Q25&lt;0.1,1,IF(Q25&lt;1,2,IF(Q25&lt;10,3,IF(Q25&lt;50,4,IF(Q25&gt;=50,5,""))))))</f>
        <v>1</v>
      </c>
      <c r="S25" s="488" t="n">
        <f aca="false">IF(ISERROR(R25*I25),0,R25*I25)</f>
        <v>10</v>
      </c>
      <c r="T25" s="488" t="n">
        <f aca="false">IF(ISERROR(R25*I25*J25),0,R25*I25*J25)</f>
        <v>10</v>
      </c>
      <c r="U25" s="500" t="n">
        <f aca="false">IF(ISERROR(R25*J25),0,R25*J25)</f>
        <v>1</v>
      </c>
      <c r="V25" s="489" t="str">
        <f aca="false">IF(AND(A25="",F25=0),"",IF(F25=0,"Il manque le(s) % de rec. !",""))</f>
        <v/>
      </c>
      <c r="W25" s="490"/>
      <c r="Y25" s="491" t="str">
        <f aca="false">IF(A25="new.cod","NEWCOD",IF(AND((Z25=""),ISTEXT(A25)),A25,IF(Z25="","",INDEX('liste reference'!$A$8:$A$904,Z25))))</f>
        <v>SPISPX</v>
      </c>
      <c r="Z25" s="281" t="n">
        <f aca="false">IF(ISERROR(MATCH(A25,'liste reference'!$A$8:$A$904,0)),IF(ISERROR(MATCH(A25,'liste reference'!$B$8:$B$904,0)),"",(MATCH(A25,'liste reference'!$B$8:$B$904,0))),(MATCH(A25,'liste reference'!$A$8:$A$904,0)))</f>
        <v>69</v>
      </c>
      <c r="AA25" s="492"/>
      <c r="AB25" s="493"/>
      <c r="AC25" s="493"/>
      <c r="BB25" s="281" t="n">
        <f aca="false">IF(A25="","",1)</f>
        <v>1</v>
      </c>
    </row>
    <row r="26" customFormat="false" ht="12.75" hidden="false" customHeight="false" outlineLevel="0" collapsed="false">
      <c r="A26" s="494" t="s">
        <v>353</v>
      </c>
      <c r="B26" s="495" t="n">
        <v>0.005</v>
      </c>
      <c r="C26" s="496" t="n">
        <v>0.005</v>
      </c>
      <c r="D26" s="478" t="str">
        <f aca="false">IF(ISERROR(VLOOKUP($A26,'liste reference'!$A$7:$D$904,2,0)),IF(ISERROR(VLOOKUP($A26,'liste reference'!$B$7:$D$904,1,0)),"",VLOOKUP($A26,'liste reference'!$B$7:$D$904,1,0)),VLOOKUP($A26,'liste reference'!$A$7:$D$904,2,0))</f>
        <v>Chiloscyphus pallescens</v>
      </c>
      <c r="E26" s="497" t="e">
        <f aca="false">IF(D26="",0,VLOOKUP(D26,D$22:D25,1,0))</f>
        <v>#N/A</v>
      </c>
      <c r="F26" s="498" t="n">
        <f aca="false">($B26*$B$7+$C26*$C$7)/100</f>
        <v>0.005</v>
      </c>
      <c r="G26" s="480" t="str">
        <f aca="false">IF(A26="","",IF(ISERROR(VLOOKUP($A26,'liste reference'!$A$7:$P$904,13,0)),IF(ISERROR(VLOOKUP($A26,'liste reference'!$B$7:$P$904,12,0)),"    -",VLOOKUP($A26,'liste reference'!$B$7:$P$904,12,0)),VLOOKUP($A26,'liste reference'!$A$7:$P$904,13,0)))</f>
        <v>BRh</v>
      </c>
      <c r="H26" s="481" t="n">
        <f aca="false">IF(A26="","x",IF(ISERROR(VLOOKUP($A26,'liste reference'!$A$8:$P$904,14,0)),IF(ISERROR(VLOOKUP($A26,'liste reference'!$B$8:$P$904,13,0)),"x",VLOOKUP($A26,'liste reference'!$B$8:$P$904,13,0)),VLOOKUP($A26,'liste reference'!$A$8:$P$904,14,0)))</f>
        <v>4</v>
      </c>
      <c r="I26" s="482" t="n">
        <f aca="false">IF(ISNUMBER(H26),IF(ISERROR(VLOOKUP($A26,'liste reference'!$A$7:$P$904,3,0)),IF(ISERROR(VLOOKUP($A26,'liste reference'!$B$7:$P$904,2,0)),"",VLOOKUP($A26,'liste reference'!$B$7:$P$904,2,0)),VLOOKUP($A26,'liste reference'!$A$7:$P$904,3,0)),"")</f>
        <v>14</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Chiloscyphus pallescens</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1185</v>
      </c>
      <c r="Q26" s="487" t="n">
        <f aca="false">IF(ISTEXT(H26),"",(B26*$B$7/100)+(C26*$C$7/100))</f>
        <v>0.005</v>
      </c>
      <c r="R26" s="488" t="n">
        <f aca="false">IF(OR(ISTEXT(H26),Q26=0),"",IF(Q26&lt;0.1,1,IF(Q26&lt;1,2,IF(Q26&lt;10,3,IF(Q26&lt;50,4,IF(Q26&gt;=50,5,""))))))</f>
        <v>1</v>
      </c>
      <c r="S26" s="488" t="n">
        <f aca="false">IF(ISERROR(R26*I26),0,R26*I26)</f>
        <v>14</v>
      </c>
      <c r="T26" s="488" t="n">
        <f aca="false">IF(ISERROR(R26*I26*J26),0,R26*I26*J26)</f>
        <v>28</v>
      </c>
      <c r="U26" s="500" t="n">
        <f aca="false">IF(ISERROR(R26*J26),0,R26*J26)</f>
        <v>2</v>
      </c>
      <c r="V26" s="489" t="str">
        <f aca="false">IF(AND(A26="",F26=0),"",IF(F26=0,"Il manque le(s) % de rec. !",""))</f>
        <v/>
      </c>
      <c r="W26" s="490"/>
      <c r="Y26" s="491" t="str">
        <f aca="false">IF(A26="new.cod","NEWCOD",IF(AND((Z26=""),ISTEXT(A26)),A26,IF(Z26="","",INDEX('liste reference'!$A$8:$A$904,Z26))))</f>
        <v>CHIPAL</v>
      </c>
      <c r="Z26" s="281" t="n">
        <f aca="false">IF(ISERROR(MATCH(A26,'liste reference'!$A$8:$A$904,0)),IF(ISERROR(MATCH(A26,'liste reference'!$B$8:$B$904,0)),"",(MATCH(A26,'liste reference'!$B$8:$B$904,0))),(MATCH(A26,'liste reference'!$A$8:$A$904,0)))</f>
        <v>96</v>
      </c>
      <c r="AA26" s="492"/>
      <c r="AB26" s="493"/>
      <c r="AC26" s="493"/>
      <c r="BB26" s="281" t="n">
        <f aca="false">IF(A26="","",1)</f>
        <v>1</v>
      </c>
    </row>
    <row r="27" customFormat="false" ht="12.75" hidden="false" customHeight="false" outlineLevel="0" collapsed="false">
      <c r="A27" s="494" t="s">
        <v>671</v>
      </c>
      <c r="B27" s="495" t="n">
        <v>1.5</v>
      </c>
      <c r="C27" s="496" t="n">
        <v>0.25</v>
      </c>
      <c r="D27" s="478" t="str">
        <f aca="false">IF(ISERROR(VLOOKUP($A27,'liste reference'!$A$7:$D$904,2,0)),IF(ISERROR(VLOOKUP($A27,'liste reference'!$B$7:$D$904,1,0)),"",VLOOKUP($A27,'liste reference'!$B$7:$D$904,1,0)),VLOOKUP($A27,'liste reference'!$A$7:$D$904,2,0))</f>
        <v>Brachythecium rivulare</v>
      </c>
      <c r="E27" s="497" t="e">
        <f aca="false">IF(D27="",0,VLOOKUP(D27,D$22:D26,1,0))</f>
        <v>#N/A</v>
      </c>
      <c r="F27" s="498" t="n">
        <f aca="false">($B27*$B$7+$C27*$C$7)/100</f>
        <v>1.1625</v>
      </c>
      <c r="G27" s="480" t="str">
        <f aca="false">IF(A27="","",IF(ISERROR(VLOOKUP($A27,'liste reference'!$A$7:$P$904,13,0)),IF(ISERROR(VLOOKUP($A27,'liste reference'!$B$7:$P$904,12,0)),"    -",VLOOKUP($A27,'liste reference'!$B$7:$P$904,12,0)),VLOOKUP($A27,'liste reference'!$A$7:$P$904,13,0)))</f>
        <v>BRm</v>
      </c>
      <c r="H27" s="481" t="n">
        <f aca="false">IF(A27="","x",IF(ISERROR(VLOOKUP($A27,'liste reference'!$A$8:$P$904,14,0)),IF(ISERROR(VLOOKUP($A27,'liste reference'!$B$8:$P$904,13,0)),"x",VLOOKUP($A27,'liste reference'!$B$8:$P$904,13,0)),VLOOKUP($A27,'liste reference'!$A$8:$P$904,14,0)))</f>
        <v>5</v>
      </c>
      <c r="I27" s="482" t="n">
        <f aca="false">IF(ISNUMBER(H27),IF(ISERROR(VLOOKUP($A27,'liste reference'!$A$7:$P$904,3,0)),IF(ISERROR(VLOOKUP($A27,'liste reference'!$B$7:$P$904,2,0)),"",VLOOKUP($A27,'liste reference'!$B$7:$P$904,2,0)),VLOOKUP($A27,'liste reference'!$A$7:$P$904,3,0)),"")</f>
        <v>15</v>
      </c>
      <c r="J27" s="482" t="n">
        <f aca="false">IF(ISNUMBER(H27),IF(ISERROR(VLOOKUP($A27,'liste reference'!$A$7:$P$904,4,0)),IF(ISERROR(VLOOKUP($A27,'liste reference'!$B$7:$P$904,3,0)),"",VLOOKUP($A27,'liste reference'!$B$7:$P$904,3,0)),VLOOKUP($A27,'liste reference'!$A$7:$P$904,4,0)),"")</f>
        <v>2</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Brachythecium rivulare</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1260</v>
      </c>
      <c r="Q27" s="487" t="n">
        <f aca="false">IF(ISTEXT(H27),"",(B27*$B$7/100)+(C27*$C$7/100))</f>
        <v>1.1625</v>
      </c>
      <c r="R27" s="488" t="n">
        <f aca="false">IF(OR(ISTEXT(H27),Q27=0),"",IF(Q27&lt;0.1,1,IF(Q27&lt;1,2,IF(Q27&lt;10,3,IF(Q27&lt;50,4,IF(Q27&gt;=50,5,""))))))</f>
        <v>3</v>
      </c>
      <c r="S27" s="488" t="n">
        <f aca="false">IF(ISERROR(R27*I27),0,R27*I27)</f>
        <v>45</v>
      </c>
      <c r="T27" s="488" t="n">
        <f aca="false">IF(ISERROR(R27*I27*J27),0,R27*I27*J27)</f>
        <v>90</v>
      </c>
      <c r="U27" s="500" t="n">
        <f aca="false">IF(ISERROR(R27*J27),0,R27*J27)</f>
        <v>6</v>
      </c>
      <c r="V27" s="489" t="str">
        <f aca="false">IF(AND(A27="",F27=0),"",IF(F27=0,"Il manque le(s) % de rec. !",""))</f>
        <v/>
      </c>
      <c r="W27" s="490"/>
      <c r="Y27" s="491" t="str">
        <f aca="false">IF(A27="new.cod","NEWCOD",IF(AND((Z27=""),ISTEXT(A27)),A27,IF(Z27="","",INDEX('liste reference'!$A$8:$A$904,Z27))))</f>
        <v>BRARIV</v>
      </c>
      <c r="Z27" s="281" t="n">
        <f aca="false">IF(ISERROR(MATCH(A27,'liste reference'!$A$8:$A$904,0)),IF(ISERROR(MATCH(A27,'liste reference'!$B$8:$B$904,0)),"",(MATCH(A27,'liste reference'!$B$8:$B$904,0))),(MATCH(A27,'liste reference'!$A$8:$A$904,0)))</f>
        <v>155</v>
      </c>
      <c r="AA27" s="492"/>
      <c r="AB27" s="493"/>
      <c r="AC27" s="493"/>
      <c r="BB27" s="281" t="n">
        <f aca="false">IF(A27="","",1)</f>
        <v>1</v>
      </c>
    </row>
    <row r="28" customFormat="false" ht="12.75" hidden="false" customHeight="false" outlineLevel="0" collapsed="false">
      <c r="A28" s="494" t="s">
        <v>899</v>
      </c>
      <c r="B28" s="495" t="n">
        <v>0.01</v>
      </c>
      <c r="C28" s="496" t="n">
        <v>0.005</v>
      </c>
      <c r="D28" s="478" t="str">
        <f aca="false">IF(ISERROR(VLOOKUP($A28,'liste reference'!$A$7:$D$904,2,0)),IF(ISERROR(VLOOKUP($A28,'liste reference'!$B$7:$D$904,1,0)),"",VLOOKUP($A28,'liste reference'!$B$7:$D$904,1,0)),VLOOKUP($A28,'liste reference'!$A$7:$D$904,2,0))</f>
        <v>Fontinalis antipyretica</v>
      </c>
      <c r="E28" s="497" t="e">
        <f aca="false">IF(D28="",0,VLOOKUP(D28,D$22:D27,1,0))</f>
        <v>#N/A</v>
      </c>
      <c r="F28" s="498" t="n">
        <f aca="false">($B28*$B$7+$C28*$C$7)/100</f>
        <v>0.00865</v>
      </c>
      <c r="G28" s="480" t="str">
        <f aca="false">IF(A28="","",IF(ISERROR(VLOOKUP($A28,'liste reference'!$A$7:$P$904,13,0)),IF(ISERROR(VLOOKUP($A28,'liste reference'!$B$7:$P$904,12,0)),"    -",VLOOKUP($A28,'liste reference'!$B$7:$P$904,12,0)),VLOOKUP($A28,'liste reference'!$A$7:$P$904,13,0)))</f>
        <v>BRm</v>
      </c>
      <c r="H28" s="481" t="n">
        <f aca="false">IF(A28="","x",IF(ISERROR(VLOOKUP($A28,'liste reference'!$A$8:$P$904,14,0)),IF(ISERROR(VLOOKUP($A28,'liste reference'!$B$8:$P$904,13,0)),"x",VLOOKUP($A28,'liste reference'!$B$8:$P$904,13,0)),VLOOKUP($A28,'liste reference'!$A$8:$P$904,14,0)))</f>
        <v>5</v>
      </c>
      <c r="I28" s="482" t="n">
        <f aca="false">IF(ISNUMBER(H28),IF(ISERROR(VLOOKUP($A28,'liste reference'!$A$7:$P$904,3,0)),IF(ISERROR(VLOOKUP($A28,'liste reference'!$B$7:$P$904,2,0)),"",VLOOKUP($A28,'liste reference'!$B$7:$P$904,2,0)),VLOOKUP($A28,'liste reference'!$A$7:$P$904,3,0)),"")</f>
        <v>10</v>
      </c>
      <c r="J28" s="482" t="n">
        <f aca="false">IF(ISNUMBER(H28),IF(ISERROR(VLOOKUP($A28,'liste reference'!$A$7:$P$904,4,0)),IF(ISERROR(VLOOKUP($A28,'liste reference'!$B$7:$P$904,3,0)),"",VLOOKUP($A28,'liste reference'!$B$7:$P$904,3,0)),VLOOKUP($A28,'liste reference'!$A$7:$P$904,4,0)),"")</f>
        <v>1</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Fontinalis antipyretica</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1310</v>
      </c>
      <c r="Q28" s="487" t="n">
        <f aca="false">IF(ISTEXT(H28),"",(B28*$B$7/100)+(C28*$C$7/100))</f>
        <v>0.00865</v>
      </c>
      <c r="R28" s="488" t="n">
        <f aca="false">IF(OR(ISTEXT(H28),Q28=0),"",IF(Q28&lt;0.1,1,IF(Q28&lt;1,2,IF(Q28&lt;10,3,IF(Q28&lt;50,4,IF(Q28&gt;=50,5,""))))))</f>
        <v>1</v>
      </c>
      <c r="S28" s="488" t="n">
        <f aca="false">IF(ISERROR(R28*I28),0,R28*I28)</f>
        <v>10</v>
      </c>
      <c r="T28" s="488" t="n">
        <f aca="false">IF(ISERROR(R28*I28*J28),0,R28*I28*J28)</f>
        <v>10</v>
      </c>
      <c r="U28" s="500" t="n">
        <f aca="false">IF(ISERROR(R28*J28),0,R28*J28)</f>
        <v>1</v>
      </c>
      <c r="V28" s="489" t="str">
        <f aca="false">IF(AND(A28="",F28=0),"",IF(F28=0,"Il manque le(s) % de rec. !",""))</f>
        <v/>
      </c>
      <c r="W28" s="490"/>
      <c r="Y28" s="491" t="str">
        <f aca="false">IF(A28="new.cod","NEWCOD",IF(AND((Z28=""),ISTEXT(A28)),A28,IF(Z28="","",INDEX('liste reference'!$A$8:$A$904,Z28))))</f>
        <v>FONANT</v>
      </c>
      <c r="Z28" s="281" t="n">
        <f aca="false">IF(ISERROR(MATCH(A28,'liste reference'!$A$8:$A$904,0)),IF(ISERROR(MATCH(A28,'liste reference'!$B$8:$B$904,0)),"",(MATCH(A28,'liste reference'!$B$8:$B$904,0))),(MATCH(A28,'liste reference'!$A$8:$A$904,0)))</f>
        <v>210</v>
      </c>
      <c r="AA28" s="492"/>
      <c r="AB28" s="493"/>
      <c r="AC28" s="493"/>
      <c r="BB28" s="281" t="n">
        <f aca="false">IF(A28="","",1)</f>
        <v>1</v>
      </c>
    </row>
    <row r="29" customFormat="false" ht="12.75" hidden="false" customHeight="false" outlineLevel="0" collapsed="false">
      <c r="A29" s="494" t="s">
        <v>1057</v>
      </c>
      <c r="B29" s="495" t="n">
        <v>0.25</v>
      </c>
      <c r="C29" s="496"/>
      <c r="D29" s="478" t="str">
        <f aca="false">IF(ISERROR(VLOOKUP($A29,'liste reference'!$A$7:$D$904,2,0)),IF(ISERROR(VLOOKUP($A29,'liste reference'!$B$7:$D$904,1,0)),"",VLOOKUP($A29,'liste reference'!$B$7:$D$904,1,0)),VLOOKUP($A29,'liste reference'!$A$7:$D$904,2,0))</f>
        <v>Rhynchostegium riparioides</v>
      </c>
      <c r="E29" s="497" t="e">
        <f aca="false">IF(D29="",0,VLOOKUP(D29,D$22:D28,1,0))</f>
        <v>#N/A</v>
      </c>
      <c r="F29" s="498" t="n">
        <f aca="false">($B29*$B$7+$C29*$C$7)/100</f>
        <v>0.1825</v>
      </c>
      <c r="G29" s="480" t="str">
        <f aca="false">IF(A29="","",IF(ISERROR(VLOOKUP($A29,'liste reference'!$A$7:$P$904,13,0)),IF(ISERROR(VLOOKUP($A29,'liste reference'!$B$7:$P$904,12,0)),"    -",VLOOKUP($A29,'liste reference'!$B$7:$P$904,12,0)),VLOOKUP($A29,'liste reference'!$A$7:$P$904,13,0)))</f>
        <v>BRm</v>
      </c>
      <c r="H29" s="481" t="n">
        <f aca="false">IF(A29="","x",IF(ISERROR(VLOOKUP($A29,'liste reference'!$A$8:$P$904,14,0)),IF(ISERROR(VLOOKUP($A29,'liste reference'!$B$8:$P$904,13,0)),"x",VLOOKUP($A29,'liste reference'!$B$8:$P$904,13,0)),VLOOKUP($A29,'liste reference'!$A$8:$P$904,14,0)))</f>
        <v>5</v>
      </c>
      <c r="I29" s="482" t="n">
        <f aca="false">IF(ISNUMBER(H29),IF(ISERROR(VLOOKUP($A29,'liste reference'!$A$7:$P$904,3,0)),IF(ISERROR(VLOOKUP($A29,'liste reference'!$B$7:$P$904,2,0)),"",VLOOKUP($A29,'liste reference'!$B$7:$P$904,2,0)),VLOOKUP($A29,'liste reference'!$A$7:$P$904,3,0)),"")</f>
        <v>12</v>
      </c>
      <c r="J29" s="482" t="n">
        <f aca="false">IF(ISNUMBER(H29),IF(ISERROR(VLOOKUP($A29,'liste reference'!$A$7:$P$904,4,0)),IF(ISERROR(VLOOKUP($A29,'liste reference'!$B$7:$P$904,3,0)),"",VLOOKUP($A29,'liste reference'!$B$7:$P$904,3,0)),VLOOKUP($A29,'liste reference'!$A$7:$P$904,4,0)),"")</f>
        <v>1</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Rhynchostegium riparioides</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1268</v>
      </c>
      <c r="Q29" s="487" t="n">
        <f aca="false">IF(ISTEXT(H29),"",(B29*$B$7/100)+(C29*$C$7/100))</f>
        <v>0.1825</v>
      </c>
      <c r="R29" s="488" t="n">
        <f aca="false">IF(OR(ISTEXT(H29),Q29=0),"",IF(Q29&lt;0.1,1,IF(Q29&lt;1,2,IF(Q29&lt;10,3,IF(Q29&lt;50,4,IF(Q29&gt;=50,5,""))))))</f>
        <v>2</v>
      </c>
      <c r="S29" s="488" t="n">
        <f aca="false">IF(ISERROR(R29*I29),0,R29*I29)</f>
        <v>24</v>
      </c>
      <c r="T29" s="488" t="n">
        <f aca="false">IF(ISERROR(R29*I29*J29),0,R29*I29*J29)</f>
        <v>24</v>
      </c>
      <c r="U29" s="500" t="n">
        <f aca="false">IF(ISERROR(R29*J29),0,R29*J29)</f>
        <v>2</v>
      </c>
      <c r="V29" s="489" t="str">
        <f aca="false">IF(AND(A29="",F29=0),"",IF(F29=0,"Il manque le(s) % de rec. !",""))</f>
        <v/>
      </c>
      <c r="W29" s="490"/>
      <c r="Y29" s="491" t="str">
        <f aca="false">IF(A29="new.cod","NEWCOD",IF(AND((Z29=""),ISTEXT(A29)),A29,IF(Z29="","",INDEX('liste reference'!$A$8:$A$904,Z29))))</f>
        <v>RHYRIP</v>
      </c>
      <c r="Z29" s="281" t="n">
        <f aca="false">IF(ISERROR(MATCH(A29,'liste reference'!$A$8:$A$904,0)),IF(ISERROR(MATCH(A29,'liste reference'!$B$8:$B$904,0)),"",(MATCH(A29,'liste reference'!$B$8:$B$904,0))),(MATCH(A29,'liste reference'!$A$8:$A$904,0)))</f>
        <v>252</v>
      </c>
      <c r="AA29" s="492"/>
      <c r="AB29" s="493"/>
      <c r="AC29" s="493"/>
      <c r="BB29" s="281" t="n">
        <f aca="false">IF(A29="","",1)</f>
        <v>1</v>
      </c>
    </row>
    <row r="30" customFormat="false" ht="12.75" hidden="false" customHeight="false" outlineLevel="0" collapsed="false">
      <c r="A30" s="494" t="s">
        <v>2264</v>
      </c>
      <c r="B30" s="495"/>
      <c r="C30" s="496" t="n">
        <v>0.005</v>
      </c>
      <c r="D30" s="478" t="str">
        <f aca="false">IF(ISERROR(VLOOKUP($A30,'liste reference'!$A$7:$D$904,2,0)),IF(ISERROR(VLOOKUP($A30,'liste reference'!$B$7:$D$904,1,0)),"",VLOOKUP($A30,'liste reference'!$B$7:$D$904,1,0)),VLOOKUP($A30,'liste reference'!$A$7:$D$904,2,0))</f>
        <v>Epilobium tetragonum</v>
      </c>
      <c r="E30" s="497" t="e">
        <f aca="false">IF(D30="",0,VLOOKUP(D30,D$22:D29,1,0))</f>
        <v>#N/A</v>
      </c>
      <c r="F30" s="498" t="n">
        <f aca="false">($B30*$B$7+$C30*$C$7)/100</f>
        <v>0.00135</v>
      </c>
      <c r="G30" s="480" t="str">
        <f aca="false">IF(A30="","",IF(ISERROR(VLOOKUP($A30,'liste reference'!$A$7:$P$904,13,0)),IF(ISERROR(VLOOKUP($A30,'liste reference'!$B$7:$P$904,12,0)),"    -",VLOOKUP($A30,'liste reference'!$B$7:$P$904,12,0)),VLOOKUP($A30,'liste reference'!$A$7:$P$904,13,0)))</f>
        <v>PHg</v>
      </c>
      <c r="H30" s="481" t="n">
        <f aca="false">IF(A30="","x",IF(ISERROR(VLOOKUP($A30,'liste reference'!$A$8:$P$904,14,0)),IF(ISERROR(VLOOKUP($A30,'liste reference'!$B$8:$P$904,13,0)),"x",VLOOKUP($A30,'liste reference'!$B$8:$P$904,13,0)),VLOOKUP($A30,'liste reference'!$A$8:$P$904,14,0)))</f>
        <v>9</v>
      </c>
      <c r="I30" s="482" t="n">
        <f aca="false">IF(ISNUMBER(H30),IF(ISERROR(VLOOKUP($A30,'liste reference'!$A$7:$P$904,3,0)),IF(ISERROR(VLOOKUP($A30,'liste reference'!$B$7:$P$904,2,0)),"",VLOOKUP($A30,'liste reference'!$B$7:$P$904,2,0)),VLOOKUP($A30,'liste reference'!$A$7:$P$904,3,0)),"")</f>
        <v>0</v>
      </c>
      <c r="J30" s="482" t="n">
        <f aca="false">IF(ISNUMBER(H30),IF(ISERROR(VLOOKUP($A30,'liste reference'!$A$7:$P$904,4,0)),IF(ISERROR(VLOOKUP($A30,'liste reference'!$B$7:$P$904,3,0)),"",VLOOKUP($A30,'liste reference'!$B$7:$P$904,3,0)),VLOOKUP($A30,'liste reference'!$A$7:$P$904,4,0)),"")</f>
        <v>0</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Epilobium tetragonum</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1853</v>
      </c>
      <c r="Q30" s="487" t="n">
        <f aca="false">IF(ISTEXT(H30),"",(B30*$B$7/100)+(C30*$C$7/100))</f>
        <v>0.00135</v>
      </c>
      <c r="R30" s="488" t="n">
        <f aca="false">IF(OR(ISTEXT(H30),Q30=0),"",IF(Q30&lt;0.1,1,IF(Q30&lt;1,2,IF(Q30&lt;10,3,IF(Q30&lt;50,4,IF(Q30&gt;=50,5,""))))))</f>
        <v>1</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EPITET</v>
      </c>
      <c r="Z30" s="281" t="n">
        <f aca="false">IF(ISERROR(MATCH(A30,'liste reference'!$A$8:$A$904,0)),IF(ISERROR(MATCH(A30,'liste reference'!$B$8:$B$904,0)),"",(MATCH(A30,'liste reference'!$B$8:$B$904,0))),(MATCH(A30,'liste reference'!$A$8:$A$904,0)))</f>
        <v>748</v>
      </c>
      <c r="AA30" s="492"/>
      <c r="AB30" s="493"/>
      <c r="AC30" s="493"/>
      <c r="BB30" s="281" t="n">
        <f aca="false">IF(A30="","",1)</f>
        <v>1</v>
      </c>
    </row>
    <row r="31" customFormat="false" ht="12.75" hidden="false" customHeight="false" outlineLevel="0" collapsed="false">
      <c r="A31" s="494" t="s">
        <v>2297</v>
      </c>
      <c r="B31" s="495" t="n">
        <v>0.01</v>
      </c>
      <c r="C31" s="496" t="n">
        <v>0.01</v>
      </c>
      <c r="D31" s="478" t="str">
        <f aca="false">IF(ISERROR(VLOOKUP($A31,'liste reference'!$A$7:$D$904,2,0)),IF(ISERROR(VLOOKUP($A31,'liste reference'!$B$7:$D$904,1,0)),"",VLOOKUP($A31,'liste reference'!$B$7:$D$904,1,0)),VLOOKUP($A31,'liste reference'!$A$7:$D$904,2,0))</f>
        <v>Impatiens glandulifera</v>
      </c>
      <c r="E31" s="497" t="e">
        <f aca="false">IF(D31="",0,VLOOKUP(D31,D$22:D30,1,0))</f>
        <v>#N/A</v>
      </c>
      <c r="F31" s="498" t="n">
        <f aca="false">($B31*$B$7+$C31*$C$7)/100</f>
        <v>0.01</v>
      </c>
      <c r="G31" s="480" t="str">
        <f aca="false">IF(A31="","",IF(ISERROR(VLOOKUP($A31,'liste reference'!$A$7:$P$904,13,0)),IF(ISERROR(VLOOKUP($A31,'liste reference'!$B$7:$P$904,12,0)),"    -",VLOOKUP($A31,'liste reference'!$B$7:$P$904,12,0)),VLOOKUP($A31,'liste reference'!$A$7:$P$904,13,0)))</f>
        <v>PHg</v>
      </c>
      <c r="H31" s="481" t="n">
        <f aca="false">IF(A31="","x",IF(ISERROR(VLOOKUP($A31,'liste reference'!$A$8:$P$904,14,0)),IF(ISERROR(VLOOKUP($A31,'liste reference'!$B$8:$P$904,13,0)),"x",VLOOKUP($A31,'liste reference'!$B$8:$P$904,13,0)),VLOOKUP($A31,'liste reference'!$A$8:$P$904,14,0)))</f>
        <v>9</v>
      </c>
      <c r="I31" s="482" t="n">
        <f aca="false">IF(ISNUMBER(H31),IF(ISERROR(VLOOKUP($A31,'liste reference'!$A$7:$P$904,3,0)),IF(ISERROR(VLOOKUP($A31,'liste reference'!$B$7:$P$904,2,0)),"",VLOOKUP($A31,'liste reference'!$B$7:$P$904,2,0)),VLOOKUP($A31,'liste reference'!$A$7:$P$904,3,0)),"")</f>
        <v>0</v>
      </c>
      <c r="J31" s="482" t="n">
        <f aca="false">IF(ISNUMBER(H31),IF(ISERROR(VLOOKUP($A31,'liste reference'!$A$7:$P$904,4,0)),IF(ISERROR(VLOOKUP($A31,'liste reference'!$B$7:$P$904,3,0)),"",VLOOKUP($A31,'liste reference'!$B$7:$P$904,3,0)),VLOOKUP($A31,'liste reference'!$A$7:$P$904,4,0)),"")</f>
        <v>0</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Impatiens glandulifera</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1686</v>
      </c>
      <c r="Q31" s="487" t="n">
        <f aca="false">IF(ISTEXT(H31),"",(B31*$B$7/100)+(C31*$C$7/100))</f>
        <v>0.01</v>
      </c>
      <c r="R31" s="488" t="n">
        <f aca="false">IF(OR(ISTEXT(H31),Q31=0),"",IF(Q31&lt;0.1,1,IF(Q31&lt;1,2,IF(Q31&lt;10,3,IF(Q31&lt;50,4,IF(Q31&gt;=50,5,""))))))</f>
        <v>1</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IMPGLA</v>
      </c>
      <c r="Z31" s="281" t="n">
        <f aca="false">IF(ISERROR(MATCH(A31,'liste reference'!$A$8:$A$904,0)),IF(ISERROR(MATCH(A31,'liste reference'!$B$8:$B$904,0)),"",(MATCH(A31,'liste reference'!$B$8:$B$904,0))),(MATCH(A31,'liste reference'!$A$8:$A$904,0)))</f>
        <v>763</v>
      </c>
      <c r="AA31" s="492"/>
      <c r="AB31" s="493"/>
      <c r="AC31" s="493"/>
      <c r="BB31" s="281" t="n">
        <f aca="false">IF(A31="","",1)</f>
        <v>1</v>
      </c>
    </row>
    <row r="32" customFormat="false" ht="12.75" hidden="false" customHeight="false" outlineLevel="0" collapsed="false">
      <c r="A32" s="494" t="s">
        <v>2309</v>
      </c>
      <c r="B32" s="495" t="n">
        <v>0.005</v>
      </c>
      <c r="C32" s="496" t="n">
        <v>0.005</v>
      </c>
      <c r="D32" s="478" t="str">
        <f aca="false">IF(ISERROR(VLOOKUP($A32,'liste reference'!$A$7:$D$904,2,0)),IF(ISERROR(VLOOKUP($A32,'liste reference'!$B$7:$D$904,1,0)),"",VLOOKUP($A32,'liste reference'!$B$7:$D$904,1,0)),VLOOKUP($A32,'liste reference'!$A$7:$D$904,2,0))</f>
        <v>Juncus articulatus</v>
      </c>
      <c r="E32" s="497" t="e">
        <f aca="false">IF(D32="",0,VLOOKUP(D32,D$22:D31,1,0))</f>
        <v>#N/A</v>
      </c>
      <c r="F32" s="498" t="n">
        <f aca="false">($B32*$B$7+$C32*$C$7)/100</f>
        <v>0.005</v>
      </c>
      <c r="G32" s="480" t="str">
        <f aca="false">IF(A32="","",IF(ISERROR(VLOOKUP($A32,'liste reference'!$A$7:$P$904,13,0)),IF(ISERROR(VLOOKUP($A32,'liste reference'!$B$7:$P$904,12,0)),"    -",VLOOKUP($A32,'liste reference'!$B$7:$P$904,12,0)),VLOOKUP($A32,'liste reference'!$A$7:$P$904,13,0)))</f>
        <v>PHg</v>
      </c>
      <c r="H32" s="481" t="n">
        <f aca="false">IF(A32="","x",IF(ISERROR(VLOOKUP($A32,'liste reference'!$A$8:$P$904,14,0)),IF(ISERROR(VLOOKUP($A32,'liste reference'!$B$8:$P$904,13,0)),"x",VLOOKUP($A32,'liste reference'!$B$8:$P$904,13,0)),VLOOKUP($A32,'liste reference'!$A$8:$P$904,14,0)))</f>
        <v>9</v>
      </c>
      <c r="I32" s="482" t="n">
        <f aca="false">IF(ISNUMBER(H32),IF(ISERROR(VLOOKUP($A32,'liste reference'!$A$7:$P$904,3,0)),IF(ISERROR(VLOOKUP($A32,'liste reference'!$B$7:$P$904,2,0)),"",VLOOKUP($A32,'liste reference'!$B$7:$P$904,2,0)),VLOOKUP($A32,'liste reference'!$A$7:$P$904,3,0)),"")</f>
        <v>0</v>
      </c>
      <c r="J32" s="482" t="n">
        <f aca="false">IF(ISNUMBER(H32),IF(ISERROR(VLOOKUP($A32,'liste reference'!$A$7:$P$904,4,0)),IF(ISERROR(VLOOKUP($A32,'liste reference'!$B$7:$P$904,3,0)),"",VLOOKUP($A32,'liste reference'!$B$7:$P$904,3,0)),VLOOKUP($A32,'liste reference'!$A$7:$P$904,4,0)),"")</f>
        <v>0</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Juncus articulatus</v>
      </c>
      <c r="L32" s="501"/>
      <c r="M32" s="501"/>
      <c r="N32" s="501"/>
      <c r="O32" s="485"/>
      <c r="P32" s="502" t="n">
        <f aca="false">IF($A32="NEWCOD",IF($AC32="","No",$AC32),IF(ISTEXT($E32),"DEJA SAISI !",IF($A32="","",IF(ISERROR(VLOOKUP($A32,'liste reference'!A:S,19,FALSE())),IF(ISERROR(VLOOKUP($A32,'liste reference'!B:S,19,FALSE())),"",VLOOKUP($A32,'liste reference'!B:S,19,FALSE())),VLOOKUP($A32,'liste reference'!A:S,19,FALSE())))))</f>
        <v>1609</v>
      </c>
      <c r="Q32" s="487" t="n">
        <f aca="false">IF(ISTEXT(H32),"",(B32*$B$7/100)+(C32*$C$7/100))</f>
        <v>0.005</v>
      </c>
      <c r="R32" s="488" t="n">
        <f aca="false">IF(OR(ISTEXT(H32),Q32=0),"",IF(Q32&lt;0.1,1,IF(Q32&lt;1,2,IF(Q32&lt;10,3,IF(Q32&lt;50,4,IF(Q32&gt;=50,5,""))))))</f>
        <v>1</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JUNART</v>
      </c>
      <c r="Z32" s="281" t="n">
        <f aca="false">IF(ISERROR(MATCH(A32,'liste reference'!$A$8:$A$904,0)),IF(ISERROR(MATCH(A32,'liste reference'!$B$8:$B$904,0)),"",(MATCH(A32,'liste reference'!$B$8:$B$904,0))),(MATCH(A32,'liste reference'!$A$8:$A$904,0)))</f>
        <v>768</v>
      </c>
      <c r="AA32" s="492"/>
      <c r="AB32" s="493"/>
      <c r="AC32" s="493"/>
      <c r="BB32" s="281" t="n">
        <f aca="false">IF(A32="","",1)</f>
        <v>1</v>
      </c>
    </row>
    <row r="33" customFormat="false" ht="12.75" hidden="false" customHeight="false" outlineLevel="0" collapsed="false">
      <c r="A33" s="494" t="s">
        <v>2392</v>
      </c>
      <c r="B33" s="495" t="n">
        <v>0.005</v>
      </c>
      <c r="C33" s="496" t="n">
        <v>0.005</v>
      </c>
      <c r="D33" s="478" t="str">
        <f aca="false">IF(ISERROR(VLOOKUP($A33,'liste reference'!$A$7:$D$904,2,0)),IF(ISERROR(VLOOKUP($A33,'liste reference'!$B$7:$D$904,1,0)),"",VLOOKUP($A33,'liste reference'!$B$7:$D$904,1,0)),VLOOKUP($A33,'liste reference'!$A$7:$D$904,2,0))</f>
        <v>Ranunculus repens</v>
      </c>
      <c r="E33" s="497" t="e">
        <f aca="false">IF(D33="",0,VLOOKUP(D33,D$22:D32,1,0))</f>
        <v>#N/A</v>
      </c>
      <c r="F33" s="498" t="n">
        <f aca="false">($B33*$B$7+$C33*$C$7)/100</f>
        <v>0.005</v>
      </c>
      <c r="G33" s="480" t="str">
        <f aca="false">IF(A33="","",IF(ISERROR(VLOOKUP($A33,'liste reference'!$A$7:$P$904,13,0)),IF(ISERROR(VLOOKUP($A33,'liste reference'!$B$7:$P$904,12,0)),"    -",VLOOKUP($A33,'liste reference'!$B$7:$P$904,12,0)),VLOOKUP($A33,'liste reference'!$A$7:$P$904,13,0)))</f>
        <v>PHg</v>
      </c>
      <c r="H33" s="481" t="n">
        <f aca="false">IF(A33="","x",IF(ISERROR(VLOOKUP($A33,'liste reference'!$A$8:$P$904,14,0)),IF(ISERROR(VLOOKUP($A33,'liste reference'!$B$8:$P$904,13,0)),"x",VLOOKUP($A33,'liste reference'!$B$8:$P$904,13,0)),VLOOKUP($A33,'liste reference'!$A$8:$P$904,14,0)))</f>
        <v>9</v>
      </c>
      <c r="I33" s="482" t="n">
        <f aca="false">IF(ISNUMBER(H33),IF(ISERROR(VLOOKUP($A33,'liste reference'!$A$7:$P$904,3,0)),IF(ISERROR(VLOOKUP($A33,'liste reference'!$B$7:$P$904,2,0)),"",VLOOKUP($A33,'liste reference'!$B$7:$P$904,2,0)),VLOOKUP($A33,'liste reference'!$A$7:$P$904,3,0)),"")</f>
        <v>0</v>
      </c>
      <c r="J33" s="482" t="n">
        <f aca="false">IF(ISNUMBER(H33),IF(ISERROR(VLOOKUP($A33,'liste reference'!$A$7:$P$904,4,0)),IF(ISERROR(VLOOKUP($A33,'liste reference'!$B$7:$P$904,3,0)),"",VLOOKUP($A33,'liste reference'!$B$7:$P$904,3,0)),VLOOKUP($A33,'liste reference'!$A$7:$P$904,4,0)),"")</f>
        <v>0</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Ranunculus repens</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1910</v>
      </c>
      <c r="Q33" s="487" t="n">
        <f aca="false">IF(ISTEXT(H33),"",(B33*$B$7/100)+(C33*$C$7/100))</f>
        <v>0.005</v>
      </c>
      <c r="R33" s="488" t="n">
        <f aca="false">IF(OR(ISTEXT(H33),Q33=0),"",IF(Q33&lt;0.1,1,IF(Q33&lt;1,2,IF(Q33&lt;10,3,IF(Q33&lt;50,4,IF(Q33&gt;=50,5,""))))))</f>
        <v>1</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RANREP</v>
      </c>
      <c r="Z33" s="281" t="n">
        <f aca="false">IF(ISERROR(MATCH(A33,'liste reference'!$A$8:$A$904,0)),IF(ISERROR(MATCH(A33,'liste reference'!$B$8:$B$904,0)),"",(MATCH(A33,'liste reference'!$B$8:$B$904,0))),(MATCH(A33,'liste reference'!$A$8:$A$904,0)))</f>
        <v>803</v>
      </c>
      <c r="AA33" s="492"/>
      <c r="AB33" s="493"/>
      <c r="AC33" s="493"/>
      <c r="BB33" s="281" t="n">
        <f aca="false">IF(A33="","",1)</f>
        <v>1</v>
      </c>
    </row>
    <row r="34" customFormat="false" ht="12.75" hidden="false" customHeight="false" outlineLevel="0" collapsed="false">
      <c r="A34" s="494" t="s">
        <v>2686</v>
      </c>
      <c r="B34" s="495" t="n">
        <v>0.005</v>
      </c>
      <c r="C34" s="496" t="n">
        <v>0.005</v>
      </c>
      <c r="D34" s="478" t="str">
        <f aca="false">IF(ISERROR(VLOOKUP($A34,'liste reference'!$A$7:$D$904,2,0)),IF(ISERROR(VLOOKUP($A34,'liste reference'!$B$7:$D$904,1,0)),"",VLOOKUP($A34,'liste reference'!$B$7:$D$904,1,0)),VLOOKUP($A34,'liste reference'!$A$7:$D$904,2,0))</f>
        <v/>
      </c>
      <c r="E34" s="497" t="n">
        <f aca="false">IF(D34="",0,VLOOKUP(D34,D$22:D33,1,0))</f>
        <v>0</v>
      </c>
      <c r="F34" s="503" t="n">
        <f aca="false">($B34*$B$7+$C34*$C$7)/100</f>
        <v>0.005</v>
      </c>
      <c r="G34" s="480" t="str">
        <f aca="false">IF(A34="","",IF(ISERROR(VLOOKUP($A34,'liste reference'!$A$7:$P$904,13,0)),IF(ISERROR(VLOOKUP($A34,'liste reference'!$B$7:$P$904,12,0)),"    -",VLOOKUP($A34,'liste reference'!$B$7:$P$904,12,0)),VLOOKUP($A34,'liste reference'!$A$7:$P$904,13,0)))</f>
        <v>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Cardamine raphanifolia</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No</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NEWCOD</v>
      </c>
      <c r="Z34" s="281" t="str">
        <f aca="false">IF(ISERROR(MATCH(A34,'liste reference'!$A$8:$A$904,0)),IF(ISERROR(MATCH(A34,'liste reference'!$B$8:$B$904,0)),"",(MATCH(A34,'liste reference'!$B$8:$B$904,0))),(MATCH(A34,'liste reference'!$A$8:$A$904,0)))</f>
        <v/>
      </c>
      <c r="AA34" s="492"/>
      <c r="AB34" s="493" t="s">
        <v>2687</v>
      </c>
      <c r="AC34" s="493"/>
      <c r="BB34" s="281" t="n">
        <f aca="false">IF(A34="","",1)</f>
        <v>1</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IF(D35="",0,VLOOKUP(D35,D$22:D28,1,0))</f>
        <v>0</v>
      </c>
      <c r="F35" s="503"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3"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3"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3"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3"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3"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3"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3"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3"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504"/>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3"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3"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IF(D46="",0,VLOOKUP(D46,D$22:D45,1,0))</f>
        <v>0</v>
      </c>
      <c r="F46" s="503"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IF(D47="",0,VLOOKUP(D47,D$22:D46,1,0))</f>
        <v>0</v>
      </c>
      <c r="F47" s="503"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X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IF(D48="",0,VLOOKUP(D48,D$22:D47,1,0))</f>
        <v>0</v>
      </c>
      <c r="F48" s="503"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3"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3"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3"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IF(D52="",0,VLOOKUP(D52,D$19:D47,1,0))</f>
        <v>0</v>
      </c>
      <c r="F52" s="503"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3"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3"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3"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3"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IF(D57="",0,VLOOKUP(D57,D$22:D56,1,0))</f>
        <v>0</v>
      </c>
      <c r="F57" s="503"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3"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3"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5"/>
      <c r="P59" s="502"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3"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9"/>
      <c r="M60" s="499"/>
      <c r="N60" s="499"/>
      <c r="O60" s="485"/>
      <c r="P60" s="486"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IF(D61="",0,VLOOKUP(D61,D$21:D60,1,0))</f>
        <v>0</v>
      </c>
      <c r="F61" s="503"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X61" s="505"/>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3"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3"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3"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3"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3"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3"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3"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3"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3"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3"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3"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3"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3"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3"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3"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3"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3"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3"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3"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3"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2688</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ROTJA</v>
      </c>
      <c r="B84" s="530" t="str">
        <f aca="false">C3</f>
        <v>Py</v>
      </c>
      <c r="C84" s="531" t="n">
        <f aca="false">A4</f>
        <v>41108</v>
      </c>
      <c r="D84" s="532" t="n">
        <f aca="false">IF(ISERROR(SUM($T$23:$T$82)/SUM($U$23:$U$82)),"",SUM($T$23:$T$82)/SUM($U$23:$U$82))</f>
        <v>13.875</v>
      </c>
      <c r="E84" s="533" t="n">
        <f aca="false">N13</f>
        <v>12</v>
      </c>
      <c r="F84" s="530" t="n">
        <f aca="false">N14</f>
        <v>11</v>
      </c>
      <c r="G84" s="530" t="n">
        <f aca="false">N15</f>
        <v>3</v>
      </c>
      <c r="H84" s="530" t="n">
        <f aca="false">N16</f>
        <v>3</v>
      </c>
      <c r="I84" s="530" t="n">
        <f aca="false">N17</f>
        <v>0</v>
      </c>
      <c r="J84" s="534" t="n">
        <f aca="false">N8</f>
        <v>6.90909090909091</v>
      </c>
      <c r="K84" s="532" t="n">
        <f aca="false">N9</f>
        <v>6.50111242864768</v>
      </c>
      <c r="L84" s="533" t="n">
        <f aca="false">N10</f>
        <v>0</v>
      </c>
      <c r="M84" s="533" t="n">
        <f aca="false">N11</f>
        <v>15</v>
      </c>
      <c r="N84" s="532" t="n">
        <f aca="false">O8</f>
        <v>0.818181818181818</v>
      </c>
      <c r="O84" s="532" t="n">
        <f aca="false">O9</f>
        <v>0.833195580901062</v>
      </c>
      <c r="P84" s="533" t="n">
        <f aca="false">O10</f>
        <v>0</v>
      </c>
      <c r="Q84" s="533" t="n">
        <f aca="false">O11</f>
        <v>2</v>
      </c>
      <c r="R84" s="533" t="n">
        <f aca="false">F21</f>
        <v>1.95005</v>
      </c>
      <c r="S84" s="533" t="n">
        <f aca="false">K11</f>
        <v>0</v>
      </c>
      <c r="T84" s="533" t="n">
        <f aca="false">K12</f>
        <v>3</v>
      </c>
      <c r="U84" s="533" t="n">
        <f aca="false">K13</f>
        <v>4</v>
      </c>
      <c r="V84" s="535" t="n">
        <f aca="false">K14</f>
        <v>0</v>
      </c>
      <c r="W84" s="536" t="n">
        <f aca="false">K15</f>
        <v>4</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2689</v>
      </c>
      <c r="R86" s="281"/>
      <c r="S86" s="489"/>
      <c r="T86" s="281"/>
      <c r="U86" s="281"/>
      <c r="V86" s="281"/>
    </row>
    <row r="87" customFormat="false" ht="12.75" hidden="true" customHeight="false" outlineLevel="0" collapsed="false">
      <c r="P87" s="281"/>
      <c r="Q87" s="281" t="s">
        <v>2690</v>
      </c>
      <c r="R87" s="281"/>
      <c r="S87" s="489" t="n">
        <f aca="false">VLOOKUP(MAX($S$23:$S$82),($S$23:$U$82),1,0)</f>
        <v>45</v>
      </c>
      <c r="T87" s="281"/>
      <c r="U87" s="281"/>
      <c r="V87" s="281"/>
    </row>
    <row r="88" customFormat="false" ht="12.75" hidden="true" customHeight="false" outlineLevel="0" collapsed="false">
      <c r="P88" s="281"/>
      <c r="Q88" s="281" t="s">
        <v>2691</v>
      </c>
      <c r="R88" s="281"/>
      <c r="S88" s="489" t="n">
        <f aca="false">VLOOKUP((S87),($S$23:$U$82),2,0)</f>
        <v>90</v>
      </c>
      <c r="T88" s="281"/>
      <c r="U88" s="281"/>
      <c r="V88" s="281"/>
    </row>
    <row r="89" customFormat="false" ht="12.75" hidden="true" customHeight="false" outlineLevel="0" collapsed="false">
      <c r="Q89" s="281" t="s">
        <v>2692</v>
      </c>
      <c r="R89" s="281"/>
      <c r="S89" s="489" t="n">
        <f aca="false">VLOOKUP((S87),($S$23:$U$82),3,0)</f>
        <v>6</v>
      </c>
      <c r="T89" s="281"/>
    </row>
    <row r="90" customFormat="false" ht="12.75" hidden="false" customHeight="false" outlineLevel="0" collapsed="false">
      <c r="Q90" s="281" t="s">
        <v>2693</v>
      </c>
      <c r="R90" s="281"/>
      <c r="S90" s="539" t="n">
        <f aca="false">IF(ISERROR(SUM($T$23:$T$82)/SUM($U$23:$U$82)),"",(SUM($T$23:$T$82)-S88)/(SUM($U$23:$U$82)-S89))</f>
        <v>13.2</v>
      </c>
      <c r="T90" s="281"/>
    </row>
    <row r="91" customFormat="false" ht="12.75" hidden="false" customHeight="false" outlineLevel="0" collapsed="false">
      <c r="Q91" s="488" t="s">
        <v>2694</v>
      </c>
      <c r="R91" s="488"/>
      <c r="S91" s="488" t="str">
        <f aca="false">INDEX('liste reference'!$A$8:$A$904,$T$91)</f>
        <v>BRARIV</v>
      </c>
      <c r="T91" s="281" t="n">
        <f aca="false">IF(ISERROR(MATCH($S$93,'liste reference'!$A$8:$A$904,0)),MATCH($S$93,'liste reference'!$B$8:$B$904,0),(MATCH($S$93,'liste reference'!$A$8:$A$904,0)))</f>
        <v>155</v>
      </c>
      <c r="U91" s="528"/>
    </row>
    <row r="92" customFormat="false" ht="12.75" hidden="false" customHeight="false" outlineLevel="0" collapsed="false">
      <c r="Q92" s="281" t="s">
        <v>2695</v>
      </c>
      <c r="R92" s="281"/>
      <c r="S92" s="281" t="n">
        <f aca="false">MATCH(S87,$S$23:$S$82,0)</f>
        <v>5</v>
      </c>
      <c r="T92" s="281"/>
    </row>
    <row r="93" customFormat="false" ht="12.75" hidden="false" customHeight="false" outlineLevel="0" collapsed="false">
      <c r="Q93" s="488" t="s">
        <v>2696</v>
      </c>
      <c r="R93" s="281"/>
      <c r="S93" s="488" t="str">
        <f aca="false">INDEX($A$23:$A$82,$S$92)</f>
        <v>BRARIV</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2697</v>
      </c>
      <c r="B2" s="285"/>
      <c r="C2" s="286" t="s">
        <v>2698</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2699</v>
      </c>
      <c r="B3" s="285"/>
      <c r="C3" s="284" t="s">
        <v>2700</v>
      </c>
      <c r="D3" s="295"/>
      <c r="E3" s="295"/>
      <c r="F3" s="296"/>
      <c r="G3" s="296"/>
      <c r="H3" s="297"/>
      <c r="I3" s="298"/>
      <c r="J3" s="297"/>
      <c r="K3" s="299" t="s">
        <v>2701</v>
      </c>
      <c r="L3" s="300"/>
      <c r="M3" s="301" t="s">
        <v>2702</v>
      </c>
      <c r="N3" s="302"/>
      <c r="O3" s="302"/>
      <c r="P3" s="303"/>
      <c r="Q3" s="281"/>
      <c r="R3" s="281"/>
      <c r="S3" s="281"/>
      <c r="T3" s="281"/>
      <c r="U3" s="281"/>
      <c r="V3" s="281"/>
      <c r="W3" s="293"/>
      <c r="X3" s="294"/>
    </row>
    <row r="4" customFormat="false" ht="13.5" hidden="false" customHeight="false" outlineLevel="0" collapsed="false">
      <c r="A4" s="540" t="s">
        <v>2703</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2640</v>
      </c>
      <c r="K10" s="374"/>
      <c r="L10" s="375"/>
      <c r="M10" s="376" t="s">
        <v>2641</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2642</v>
      </c>
      <c r="B11" s="380"/>
      <c r="C11" s="381"/>
      <c r="D11" s="382"/>
      <c r="E11" s="382"/>
      <c r="F11" s="383" t="n">
        <f aca="false">($B11*$B$7+$C11*$C$7)/100</f>
        <v>0</v>
      </c>
      <c r="G11" s="384"/>
      <c r="H11" s="339"/>
      <c r="I11" s="385" t="s">
        <v>2643</v>
      </c>
      <c r="J11" s="385"/>
      <c r="K11" s="386" t="n">
        <f aca="false">COUNTIF($G$23:$G$82,"=HET")</f>
        <v>0</v>
      </c>
      <c r="L11" s="387"/>
      <c r="M11" s="376" t="s">
        <v>2644</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2645</v>
      </c>
      <c r="B12" s="389"/>
      <c r="C12" s="390"/>
      <c r="D12" s="382"/>
      <c r="E12" s="382"/>
      <c r="F12" s="383" t="n">
        <f aca="false">($B12*$B$7+$C12*$C$7)/100</f>
        <v>0</v>
      </c>
      <c r="G12" s="391"/>
      <c r="H12" s="339"/>
      <c r="I12" s="392" t="s">
        <v>2646</v>
      </c>
      <c r="J12" s="392"/>
      <c r="K12" s="386" t="n">
        <f aca="false">COUNTIF($G$23:$G$82,"=ALG")</f>
        <v>0</v>
      </c>
      <c r="L12" s="393"/>
      <c r="M12" s="394"/>
      <c r="N12" s="395" t="s">
        <v>2640</v>
      </c>
      <c r="O12" s="396"/>
      <c r="P12" s="397"/>
      <c r="Q12" s="281"/>
      <c r="R12" s="281"/>
      <c r="S12" s="281"/>
      <c r="T12" s="281"/>
      <c r="U12" s="281"/>
      <c r="V12" s="281"/>
    </row>
    <row r="13" customFormat="false" ht="12.75" hidden="false" customHeight="false" outlineLevel="0" collapsed="false">
      <c r="A13" s="388" t="s">
        <v>2647</v>
      </c>
      <c r="B13" s="389"/>
      <c r="C13" s="390"/>
      <c r="D13" s="382"/>
      <c r="E13" s="382"/>
      <c r="F13" s="383" t="n">
        <f aca="false">($B13*$B$7+$C13*$C$7)/100</f>
        <v>0</v>
      </c>
      <c r="G13" s="391"/>
      <c r="H13" s="339"/>
      <c r="I13" s="392" t="s">
        <v>2648</v>
      </c>
      <c r="J13" s="392"/>
      <c r="K13" s="386" t="n">
        <f aca="false">COUNTIF($G$23:$G$82,"=BRm")+COUNTIF($G$23:$G$82,"=BRh")</f>
        <v>0</v>
      </c>
      <c r="L13" s="387"/>
      <c r="M13" s="398" t="s">
        <v>2649</v>
      </c>
      <c r="N13" s="399" t="n">
        <f aca="false">COUNTIF(F23:F82,"&gt;0")</f>
        <v>0</v>
      </c>
      <c r="O13" s="400"/>
      <c r="P13" s="401"/>
      <c r="Q13" s="281"/>
      <c r="R13" s="281"/>
      <c r="S13" s="281"/>
      <c r="T13" s="281"/>
      <c r="U13" s="281"/>
      <c r="V13" s="281"/>
    </row>
    <row r="14" customFormat="false" ht="12.75" hidden="false" customHeight="false" outlineLevel="0" collapsed="false">
      <c r="A14" s="388" t="s">
        <v>2650</v>
      </c>
      <c r="B14" s="389"/>
      <c r="C14" s="390"/>
      <c r="D14" s="382"/>
      <c r="E14" s="382"/>
      <c r="F14" s="383" t="n">
        <f aca="false">($B14*$B$7+$C14*$C$7)/100</f>
        <v>0</v>
      </c>
      <c r="G14" s="391"/>
      <c r="H14" s="339"/>
      <c r="I14" s="392" t="s">
        <v>2651</v>
      </c>
      <c r="J14" s="392"/>
      <c r="K14" s="386" t="n">
        <f aca="false">COUNTIF($G$23:$G$82,"=PTE")+COUNTIF($G$23:$G$82,"=LIC")</f>
        <v>0</v>
      </c>
      <c r="L14" s="387"/>
      <c r="M14" s="402" t="s">
        <v>2652</v>
      </c>
      <c r="N14" s="403" t="n">
        <f aca="false">COUNTIF($I$23:$I$82,"&gt;-1")</f>
        <v>0</v>
      </c>
      <c r="O14" s="404"/>
      <c r="P14" s="401"/>
      <c r="Q14" s="281"/>
      <c r="R14" s="281"/>
      <c r="S14" s="281"/>
      <c r="T14" s="281"/>
      <c r="U14" s="281"/>
      <c r="V14" s="281"/>
    </row>
    <row r="15" customFormat="false" ht="12.75" hidden="false" customHeight="false" outlineLevel="0" collapsed="false">
      <c r="A15" s="405" t="s">
        <v>2653</v>
      </c>
      <c r="B15" s="406"/>
      <c r="C15" s="407"/>
      <c r="D15" s="382"/>
      <c r="E15" s="382"/>
      <c r="F15" s="383" t="n">
        <f aca="false">($B15*$B$7+$C15*$C$7)/100</f>
        <v>0</v>
      </c>
      <c r="G15" s="391"/>
      <c r="H15" s="339"/>
      <c r="I15" s="392" t="s">
        <v>2654</v>
      </c>
      <c r="J15" s="392"/>
      <c r="K15" s="386" t="n">
        <f aca="false">(COUNTIF($G$23:$G$82,"=PHy"))+(COUNTIF($G$23:$G$82,"=PHe"))+(COUNTIF($G$23:$G$82,"=PHg"))+(COUNTIF($G$23:$G$82,"=PHx"))</f>
        <v>0</v>
      </c>
      <c r="L15" s="387"/>
      <c r="M15" s="408" t="s">
        <v>2655</v>
      </c>
      <c r="N15" s="409" t="n">
        <f aca="false">COUNTIF(J23:J82,"=1")</f>
        <v>0</v>
      </c>
      <c r="O15" s="410"/>
      <c r="P15" s="401"/>
      <c r="Q15" s="281"/>
      <c r="R15" s="281"/>
      <c r="S15" s="281"/>
      <c r="T15" s="281"/>
      <c r="U15" s="281"/>
      <c r="V15" s="281"/>
    </row>
    <row r="16" customFormat="false" ht="12.75" hidden="false" customHeight="false" outlineLevel="0" collapsed="false">
      <c r="A16" s="379" t="s">
        <v>2656</v>
      </c>
      <c r="B16" s="380"/>
      <c r="C16" s="381"/>
      <c r="D16" s="411"/>
      <c r="E16" s="411"/>
      <c r="F16" s="412"/>
      <c r="G16" s="412" t="n">
        <f aca="false">($B16*$B$7+$C16*$C$7)/100</f>
        <v>0</v>
      </c>
      <c r="H16" s="339"/>
      <c r="I16" s="392"/>
      <c r="J16" s="413"/>
      <c r="K16" s="413"/>
      <c r="L16" s="387"/>
      <c r="M16" s="408" t="s">
        <v>2657</v>
      </c>
      <c r="N16" s="409" t="n">
        <f aca="false">COUNTIF(J23:J82,"=2")</f>
        <v>0</v>
      </c>
      <c r="O16" s="410"/>
      <c r="P16" s="401"/>
      <c r="Q16" s="281"/>
      <c r="R16" s="281"/>
      <c r="S16" s="281"/>
      <c r="T16" s="281"/>
      <c r="U16" s="281"/>
      <c r="V16" s="281"/>
    </row>
    <row r="17" customFormat="false" ht="12.75" hidden="false" customHeight="false" outlineLevel="0" collapsed="false">
      <c r="A17" s="388" t="s">
        <v>2658</v>
      </c>
      <c r="B17" s="389"/>
      <c r="C17" s="390"/>
      <c r="D17" s="382"/>
      <c r="E17" s="382"/>
      <c r="F17" s="414"/>
      <c r="G17" s="383" t="n">
        <f aca="false">($B17*$B$7+$C17*$C$7)/100</f>
        <v>0</v>
      </c>
      <c r="H17" s="339"/>
      <c r="I17" s="392"/>
      <c r="J17" s="392"/>
      <c r="K17" s="413"/>
      <c r="L17" s="387"/>
      <c r="M17" s="408" t="s">
        <v>2659</v>
      </c>
      <c r="N17" s="409" t="n">
        <f aca="false">COUNTIF(J23:J82,"=3")</f>
        <v>0</v>
      </c>
      <c r="O17" s="410"/>
      <c r="P17" s="401"/>
      <c r="Q17" s="281"/>
      <c r="R17" s="281"/>
      <c r="S17" s="281"/>
      <c r="T17" s="281"/>
      <c r="U17" s="281"/>
      <c r="V17" s="281"/>
    </row>
    <row r="18" customFormat="false" ht="12.75" hidden="false" customHeight="false" outlineLevel="0" collapsed="false">
      <c r="A18" s="415" t="s">
        <v>2660</v>
      </c>
      <c r="B18" s="416"/>
      <c r="C18" s="417"/>
      <c r="D18" s="382"/>
      <c r="E18" s="418" t="s">
        <v>2661</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2662</v>
      </c>
      <c r="B20" s="436" t="n">
        <f aca="false">SUM(B23:B82)</f>
        <v>0</v>
      </c>
      <c r="C20" s="437" t="n">
        <f aca="false">SUM(C23:C82)</f>
        <v>0</v>
      </c>
      <c r="D20" s="438"/>
      <c r="E20" s="439" t="s">
        <v>2661</v>
      </c>
      <c r="F20" s="440" t="n">
        <f aca="false">($B20*$B$7+$C20*$C$7)/100</f>
        <v>0</v>
      </c>
      <c r="G20" s="441"/>
      <c r="H20" s="442"/>
      <c r="I20" s="443"/>
      <c r="J20" s="443"/>
      <c r="K20" s="444"/>
      <c r="L20" s="318"/>
      <c r="M20" s="445"/>
      <c r="N20" s="445"/>
      <c r="O20" s="446"/>
      <c r="P20" s="447"/>
      <c r="Q20" s="448" t="s">
        <v>2663</v>
      </c>
      <c r="R20" s="281"/>
      <c r="S20" s="281"/>
      <c r="T20" s="281"/>
      <c r="U20" s="281"/>
      <c r="V20" s="281"/>
      <c r="W20" s="421"/>
    </row>
    <row r="21" customFormat="false" ht="12.75" hidden="false" customHeight="false" outlineLevel="0" collapsed="false">
      <c r="A21" s="449" t="s">
        <v>2665</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2666</v>
      </c>
      <c r="R21" s="281"/>
      <c r="S21" s="281"/>
      <c r="T21" s="281"/>
      <c r="U21" s="281"/>
      <c r="V21" s="281"/>
      <c r="W21" s="421"/>
    </row>
    <row r="22" customFormat="false" ht="12.75" hidden="false" customHeight="false" outlineLevel="0" collapsed="false">
      <c r="A22" s="460" t="s">
        <v>2668</v>
      </c>
      <c r="B22" s="461" t="s">
        <v>2669</v>
      </c>
      <c r="C22" s="462" t="s">
        <v>2669</v>
      </c>
      <c r="D22" s="411"/>
      <c r="E22" s="411"/>
      <c r="F22" s="463" t="s">
        <v>2670</v>
      </c>
      <c r="G22" s="464" t="s">
        <v>37</v>
      </c>
      <c r="H22" s="411"/>
      <c r="I22" s="465" t="s">
        <v>2671</v>
      </c>
      <c r="J22" s="465" t="s">
        <v>2672</v>
      </c>
      <c r="K22" s="466" t="s">
        <v>2673</v>
      </c>
      <c r="L22" s="466"/>
      <c r="M22" s="466"/>
      <c r="N22" s="466"/>
      <c r="O22" s="466"/>
      <c r="P22" s="467" t="s">
        <v>2674</v>
      </c>
      <c r="Q22" s="468" t="s">
        <v>2675</v>
      </c>
      <c r="R22" s="469" t="s">
        <v>2676</v>
      </c>
      <c r="S22" s="470" t="s">
        <v>2677</v>
      </c>
      <c r="T22" s="471" t="s">
        <v>2678</v>
      </c>
      <c r="U22" s="472" t="s">
        <v>2679</v>
      </c>
      <c r="V22" s="470" t="s">
        <v>2680</v>
      </c>
      <c r="Y22" s="281" t="s">
        <v>2681</v>
      </c>
      <c r="Z22" s="281" t="s">
        <v>2682</v>
      </c>
      <c r="AA22" s="473" t="s">
        <v>2683</v>
      </c>
      <c r="AB22" s="473" t="s">
        <v>2684</v>
      </c>
      <c r="AC22" s="474" t="s">
        <v>2685</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4"/>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3"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3"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3"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3"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3"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3"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3"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3"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3"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3"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3"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3"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3"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3"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3"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3"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3"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3"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3"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3"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3"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3"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3"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3"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5"/>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3"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3"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1"/>
      <c r="M59" s="501"/>
      <c r="N59" s="501"/>
      <c r="O59" s="485"/>
      <c r="P59" s="502"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3"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1"/>
      <c r="M60" s="501"/>
      <c r="N60" s="501"/>
      <c r="O60" s="485"/>
      <c r="P60" s="502"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3"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3"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3"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3"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3"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3"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3"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3"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3"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3"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3"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3"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3"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3"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3"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3"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3"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3"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3"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3"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3"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1"/>
      <c r="M81" s="501"/>
      <c r="N81" s="501"/>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2688</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2689</v>
      </c>
      <c r="R86" s="281"/>
      <c r="S86" s="489"/>
      <c r="T86" s="281"/>
      <c r="U86" s="281"/>
      <c r="V86" s="281"/>
    </row>
    <row r="87" customFormat="false" ht="12.75" hidden="true" customHeight="false" outlineLevel="0" collapsed="false">
      <c r="P87" s="281"/>
      <c r="Q87" s="281" t="s">
        <v>2690</v>
      </c>
      <c r="R87" s="281"/>
      <c r="S87" s="489" t="n">
        <f aca="false">VLOOKUP(MAX($S$23:$S$82),($S$23:$U$82),1,0)</f>
        <v>0</v>
      </c>
      <c r="T87" s="281"/>
      <c r="U87" s="281"/>
      <c r="V87" s="281"/>
    </row>
    <row r="88" customFormat="false" ht="12.75" hidden="true" customHeight="false" outlineLevel="0" collapsed="false">
      <c r="P88" s="281"/>
      <c r="Q88" s="281" t="s">
        <v>2691</v>
      </c>
      <c r="R88" s="281"/>
      <c r="S88" s="489" t="n">
        <f aca="false">VLOOKUP((S87),($S$23:$U$82),2,0)</f>
        <v>0</v>
      </c>
      <c r="T88" s="281"/>
      <c r="U88" s="281"/>
      <c r="V88" s="281"/>
    </row>
    <row r="89" customFormat="false" ht="12.75" hidden="true" customHeight="false" outlineLevel="0" collapsed="false">
      <c r="Q89" s="281" t="s">
        <v>2692</v>
      </c>
      <c r="R89" s="281"/>
      <c r="S89" s="489" t="n">
        <f aca="false">VLOOKUP((S87),($S$23:$U$82),3,0)</f>
        <v>0</v>
      </c>
      <c r="T89" s="281"/>
    </row>
    <row r="90" customFormat="false" ht="12.75" hidden="false" customHeight="false" outlineLevel="0" collapsed="false">
      <c r="Q90" s="281" t="s">
        <v>2693</v>
      </c>
      <c r="R90" s="281"/>
      <c r="S90" s="539" t="str">
        <f aca="false">IF(ISERROR(SUM($T$23:$T$82)/SUM($U$23:$U$82)),"",(SUM($T$23:$T$82)-S88)/(SUM($U$23:$U$82)-S89))</f>
        <v/>
      </c>
      <c r="T90" s="281"/>
    </row>
    <row r="91" customFormat="false" ht="12.75" hidden="false" customHeight="false" outlineLevel="0" collapsed="false">
      <c r="Q91" s="488" t="s">
        <v>2694</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2695</v>
      </c>
      <c r="R92" s="281"/>
      <c r="S92" s="281" t="n">
        <f aca="false">MATCH(S87,$S$23:$S$82,0)</f>
        <v>1</v>
      </c>
      <c r="T92" s="281"/>
    </row>
    <row r="93" customFormat="false" ht="12.75" hidden="false" customHeight="false" outlineLevel="0" collapsed="false">
      <c r="Q93" s="488" t="s">
        <v>2696</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2704</v>
      </c>
      <c r="B1" s="551"/>
      <c r="C1" s="551"/>
      <c r="D1" s="551"/>
    </row>
    <row r="2" customFormat="false" ht="15" hidden="false" customHeight="false" outlineLevel="0" collapsed="false">
      <c r="A2" s="552" t="s">
        <v>2705</v>
      </c>
      <c r="B2" s="553"/>
      <c r="C2" s="554"/>
      <c r="D2" s="554"/>
    </row>
    <row r="3" customFormat="false" ht="15.75" hidden="false" customHeight="false" outlineLevel="0" collapsed="false">
      <c r="A3" s="552" t="s">
        <v>2706</v>
      </c>
      <c r="B3" s="553"/>
      <c r="C3" s="554"/>
      <c r="D3" s="555" t="s">
        <v>2707</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2708</v>
      </c>
      <c r="G15" s="573"/>
      <c r="H15" s="574" t="s">
        <v>2709</v>
      </c>
      <c r="I15" s="573"/>
    </row>
    <row r="16" customFormat="false" ht="15" hidden="false" customHeight="false" outlineLevel="0" collapsed="false">
      <c r="A16" s="569" t="s">
        <v>1710</v>
      </c>
      <c r="B16" s="568" t="s">
        <v>1711</v>
      </c>
      <c r="C16" s="570"/>
      <c r="D16" s="571"/>
      <c r="F16" s="575" t="s">
        <v>2710</v>
      </c>
      <c r="G16" s="576"/>
      <c r="H16" s="575" t="s">
        <v>2710</v>
      </c>
      <c r="I16" s="577"/>
    </row>
    <row r="17" customFormat="false" ht="15" hidden="false" customHeight="false" outlineLevel="0" collapsed="false">
      <c r="A17" s="567" t="s">
        <v>2129</v>
      </c>
      <c r="B17" s="568" t="s">
        <v>2130</v>
      </c>
      <c r="C17" s="570"/>
      <c r="D17" s="571"/>
      <c r="F17" s="578" t="s">
        <v>2711</v>
      </c>
      <c r="G17" s="579"/>
      <c r="H17" s="578" t="s">
        <v>2711</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2712</v>
      </c>
      <c r="G19" s="579"/>
      <c r="H19" s="578" t="s">
        <v>2712</v>
      </c>
      <c r="I19" s="580"/>
    </row>
    <row r="20" customFormat="false" ht="15" hidden="false" customHeight="false" outlineLevel="0" collapsed="false">
      <c r="A20" s="569" t="s">
        <v>1716</v>
      </c>
      <c r="B20" s="568" t="s">
        <v>1717</v>
      </c>
      <c r="C20" s="570"/>
      <c r="D20" s="571"/>
      <c r="F20" s="578" t="s">
        <v>2713</v>
      </c>
      <c r="G20" s="579"/>
      <c r="H20" s="578" t="s">
        <v>2713</v>
      </c>
      <c r="I20" s="580"/>
    </row>
    <row r="21" customFormat="false" ht="15" hidden="false" customHeight="false" outlineLevel="0" collapsed="false">
      <c r="A21" s="569" t="s">
        <v>1722</v>
      </c>
      <c r="B21" s="568" t="s">
        <v>1723</v>
      </c>
      <c r="C21" s="570"/>
      <c r="D21" s="571"/>
      <c r="F21" s="578" t="s">
        <v>2714</v>
      </c>
      <c r="G21" s="579"/>
      <c r="H21" s="578" t="s">
        <v>2714</v>
      </c>
      <c r="I21" s="580"/>
    </row>
    <row r="22" customFormat="false" ht="15" hidden="false" customHeight="false" outlineLevel="0" collapsed="false">
      <c r="A22" s="567" t="s">
        <v>1728</v>
      </c>
      <c r="B22" s="568" t="s">
        <v>1729</v>
      </c>
      <c r="C22" s="570"/>
      <c r="D22" s="571"/>
      <c r="F22" s="578" t="s">
        <v>2715</v>
      </c>
      <c r="G22" s="579"/>
      <c r="H22" s="578" t="s">
        <v>2715</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2716</v>
      </c>
      <c r="G24" s="579"/>
      <c r="H24" s="578" t="s">
        <v>2716</v>
      </c>
      <c r="I24" s="580"/>
    </row>
    <row r="25" customFormat="false" ht="15" hidden="false" customHeight="false" outlineLevel="0" collapsed="false">
      <c r="A25" s="567" t="s">
        <v>2135</v>
      </c>
      <c r="B25" s="568" t="s">
        <v>2136</v>
      </c>
      <c r="C25" s="570"/>
      <c r="D25" s="571"/>
      <c r="F25" s="581" t="s">
        <v>2717</v>
      </c>
      <c r="G25" s="582"/>
      <c r="H25" s="581" t="s">
        <v>2717</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2683</v>
      </c>
    </row>
    <row r="29" customFormat="false" ht="15" hidden="false" customHeight="false" outlineLevel="0" collapsed="false">
      <c r="A29" s="567" t="s">
        <v>1222</v>
      </c>
      <c r="B29" s="568" t="s">
        <v>1223</v>
      </c>
      <c r="C29" s="570"/>
      <c r="D29" s="571"/>
      <c r="F29" s="585" t="s">
        <v>2718</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2719</v>
      </c>
    </row>
    <row r="35" customFormat="false" ht="15" hidden="false" customHeight="false" outlineLevel="0" collapsed="false">
      <c r="A35" s="567" t="s">
        <v>52</v>
      </c>
      <c r="B35" s="568" t="s">
        <v>53</v>
      </c>
      <c r="C35" s="570"/>
      <c r="D35" s="571"/>
      <c r="F35" s="585" t="s">
        <v>2720</v>
      </c>
    </row>
    <row r="36" customFormat="false" ht="15" hidden="false" customHeight="false" outlineLevel="0" collapsed="false">
      <c r="A36" s="569" t="s">
        <v>320</v>
      </c>
      <c r="B36" s="568" t="s">
        <v>321</v>
      </c>
      <c r="C36" s="570"/>
      <c r="D36" s="571"/>
      <c r="F36" s="587" t="s">
        <v>2639</v>
      </c>
    </row>
    <row r="37" customFormat="false" ht="15" hidden="false" customHeight="false" outlineLevel="0" collapsed="false">
      <c r="A37" s="567" t="s">
        <v>2144</v>
      </c>
      <c r="B37" s="568" t="s">
        <v>2145</v>
      </c>
      <c r="C37" s="570"/>
      <c r="D37" s="571"/>
      <c r="F37" s="587" t="s">
        <v>2721</v>
      </c>
    </row>
    <row r="38" customFormat="false" ht="15" hidden="false" customHeight="false" outlineLevel="0" collapsed="false">
      <c r="A38" s="567" t="s">
        <v>2147</v>
      </c>
      <c r="B38" s="568" t="s">
        <v>2148</v>
      </c>
      <c r="C38" s="570"/>
      <c r="D38" s="571"/>
      <c r="F38" s="587" t="s">
        <v>2722</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2723</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2013-04-11T15:13:36Z</dcterms:modified>
  <cp:revision>0</cp:revision>
  <dc:subject/>
  <dc:title>Feuille d'aide au calcul de l'IBMR</dc:title>
</cp:coreProperties>
</file>