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Rotja à Py" sheetId="8" state="visible" r:id="rId10"/>
    <sheet name="liste codes réf" sheetId="9" state="hidden" r:id="rId11"/>
  </sheets>
  <definedNames>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7" name="_xlnm.Print_Area" vbProcedure="false">'Rotja à Py'!$A$1:$Q$82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'Rotja à Py'!$A$1:$C$1415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<sst xmlns="http://schemas.openxmlformats.org/spreadsheetml/2006/main" count="9288" uniqueCount="3664">
  <si>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</si>
  <si>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</si>
  <si>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</si>
  <si>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</si>
  <si>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</si>
  <si>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</si>
  <si>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</si>
  <si>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</si>
  <si>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</si>
  <si>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</si>
  <si>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</si>
  <si>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</si>
  <si>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</si>
  <si>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</si>
  <si>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</si>
  <si>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</si>
  <si>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</si>
  <si>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</si>
  <si>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</si>
  <si>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</si>
  <si>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</si>
  <si>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</si>
  <si>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</si>
  <si>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</si>
  <si>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</si>
  <si>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</si>
  <si>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</si>
  <si>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</si>
  <si>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</si>
  <si>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</si>
  <si>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</si>
  <si>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</si>
  <si>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</si>
  <si>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</si>
  <si>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</si>
  <si>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</si>
  <si>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</si>
  <si>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</si>
  <si>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</si>
  <si>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</si>
  <si>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</si>
  <si>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</si>
  <si>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</si>
  <si>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</si>
  <si>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</si>
  <si>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</si>
  <si>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</si>
  <si>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</si>
  <si>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</si>
  <si>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</si>
  <si>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</si>
  <si>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</si>
  <si>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</si>
  <si>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</si>
  <si>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</si>
  <si>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</si>
  <si>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</si>
  <si>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</si>
  <si>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</si>
  <si>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</si>
  <si>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</si>
  <si>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</si>
  <si>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</si>
  <si>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</si>
  <si>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</si>
  <si>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</si>
  <si>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</si>
  <si>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</si>
  <si>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</si>
  <si>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</si>
  <si>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</si>
  <si>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</si>
  <si>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</si>
  <si>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</si>
  <si>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</si>
  <si>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</si>
  <si>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</si>
  <si>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</si>
  <si>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</si>
  <si>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</si>
  <si>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</si>
  <si>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</si>
  <si>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</si>
  <si>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</si>
  <si>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</si>
  <si>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</si>
  <si>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</si>
  <si>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</si>
  <si>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</si>
  <si>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</si>
  <si>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</si>
  <si>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</si>
  <si>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</si>
  <si>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</si>
  <si>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</si>
  <si>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</si>
  <si>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</si>
  <si>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</si>
  <si>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</si>
  <si>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</si>
  <si>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</si>
  <si>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</si>
  <si>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</si>
  <si>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</si>
  <si>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</si>
  <si>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</si>
  <si>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</si>
  <si>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</si>
  <si>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</si>
  <si>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</si>
  <si>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</si>
  <si>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</si>
  <si>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</si>
  <si>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</si>
  <si>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</si>
  <si>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</si>
  <si>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</si>
  <si>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</si>
  <si>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</si>
  <si>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</si>
  <si>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</si>
  <si>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</si>
  <si>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</si>
  <si>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</si>
  <si>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</si>
  <si>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</si>
  <si>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</si>
  <si>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</si>
  <si>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</si>
  <si>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</si>
  <si>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</si>
  <si>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</si>
  <si>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</si>
  <si>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</si>
  <si>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</si>
  <si>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</si>
  <si>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</si>
  <si>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</si>
  <si>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</si>
  <si>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</si>
  <si>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</si>
  <si>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</si>
  <si>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</si>
  <si>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</si>
  <si>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</si>
  <si>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</si>
  <si>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</si>
  <si>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</si>
  <si>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</si>
  <si>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</si>
  <si>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</si>
  <si>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</si>
  <si>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</si>
  <si>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</si>
  <si>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</si>
  <si>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</si>
  <si>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</si>
  <si>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</si>
  <si>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</si>
  <si>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</si>
  <si>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</si>
  <si>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</si>
  <si>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</si>
  <si>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</si>
  <si>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</si>
  <si>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</si>
  <si>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</si>
  <si>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</si>
  <si>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</si>
  <si>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</si>
  <si>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</si>
  <si>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</si>
  <si>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</si>
  <si>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</si>
  <si>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</si>
  <si>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</si>
  <si>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</si>
  <si>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</si>
  <si>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</si>
  <si>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</si>
  <si>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</si>
  <si>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</si>
  <si>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</si>
  <si>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</si>
  <si>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</si>
  <si>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</si>
  <si>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</si>
  <si>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</si>
  <si>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</si>
  <si>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</si>
  <si>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</si>
  <si>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</si>
  <si>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</si>
  <si>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</si>
  <si>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</si>
  <si>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</si>
  <si>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</si>
  <si>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</si>
  <si>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</si>
  <si>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</si>
  <si>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</si>
  <si>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</si>
  <si>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</si>
  <si>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</si>
  <si>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</si>
  <si>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</si>
  <si>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</si>
  <si>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</si>
  <si>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</si>
  <si>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</si>
  <si>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</si>
  <si>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</si>
  <si>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</si>
  <si>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</si>
  <si>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</si>
  <si>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</si>
  <si>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</si>
  <si>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</si>
  <si>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</si>
  <si>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</si>
  <si>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</si>
  <si>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</si>
  <si>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</si>
  <si>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</si>
  <si>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</si>
  <si>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</si>
  <si>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</si>
  <si>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</si>
  <si>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</si>
  <si>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</si>
  <si>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</si>
  <si>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</si>
  <si>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</si>
  <si>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</si>
  <si>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</si>
  <si>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</si>
  <si>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</si>
  <si>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</si>
  <si>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</si>
  <si>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</si>
  <si>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</si>
  <si>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</si>
  <si>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</si>
  <si>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</si>
  <si>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</si>
  <si>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</si>
  <si>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</si>
  <si>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</si>
  <si>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</si>
  <si>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</si>
  <si>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</si>
  <si>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</si>
  <si>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</si>
  <si>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</si>
  <si>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</si>
  <si>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</si>
  <si>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</si>
  <si>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</si>
  <si>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</si>
  <si>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</si>
  <si>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</si>
  <si>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</si>
  <si>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</si>
  <si>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</si>
  <si>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</si>
  <si>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</si>
  <si>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</si>
  <si>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</si>
  <si>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</si>
  <si>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</si>
  <si>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</si>
  <si>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</si>
  <si>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</si>
  <si>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</si>
  <si>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</si>
  <si>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</si>
  <si>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</si>
  <si>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</si>
  <si>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</si>
  <si>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</si>
  <si>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</si>
  <si>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</si>
  <si>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</si>
  <si>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</si>
  <si>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</si>
  <si>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</si>
  <si>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</si>
  <si>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</si>
  <si>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</si>
  <si>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</si>
  <si>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</si>
  <si>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</si>
  <si>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</si>
  <si>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</si>
  <si>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</si>
  <si>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</si>
  <si>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</si>
  <si>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</si>
  <si>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</si>
  <si>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</si>
  <si>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</si>
  <si>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</si>
  <si>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</si>
  <si>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</si>
  <si>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</si>
  <si>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</si>
  <si>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</si>
  <si>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</si>
  <si>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</si>
  <si>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</si>
  <si>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</si>
  <si>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</si>
  <si>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</si>
  <si>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</si>
  <si>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</si>
  <si>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</si>
  <si>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</si>
  <si>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</si>
  <si>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</si>
  <si>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</si>
  <si>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</si>
  <si>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</si>
  <si>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</si>
  <si>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</si>
  <si>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</si>
  <si>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</si>
  <si>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</si>
  <si>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</si>
  <si>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</si>
  <si>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</si>
  <si>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</si>
  <si>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</si>
  <si>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</si>
  <si>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</si>
  <si>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</si>
  <si>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</si>
  <si>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</si>
  <si>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</si>
  <si>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</si>
  <si>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</si>
  <si>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</si>
  <si>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</si>
  <si>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</si>
  <si>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</si>
  <si>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</si>
  <si>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</si>
  <si>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</si>
  <si>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</si>
  <si>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</si>
  <si>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</si>
  <si>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</si>
  <si>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</si>
  <si>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</si>
  <si>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</si>
  <si>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</si>
  <si>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</si>
  <si>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</si>
  <si>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</si>
  <si>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</si>
  <si>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</si>
  <si>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</si>
  <si>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</si>
  <si>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</si>
  <si>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</si>
  <si>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</si>
  <si>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</si>
  <si>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</si>
  <si>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</si>
  <si>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</si>
  <si>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</si>
  <si>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</si>
  <si>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</si>
  <si>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</si>
  <si>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</si>
  <si>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</si>
  <si>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</si>
  <si>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</si>
  <si>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</si>
  <si>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</si>
  <si>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</si>
  <si>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</si>
  <si>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</si>
  <si>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</si>
  <si>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</si>
  <si>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</si>
  <si>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</si>
  <si>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</si>
  <si>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</si>
  <si>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</si>
  <si>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</si>
  <si>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</si>
  <si>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</si>
  <si>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</si>
  <si>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</si>
  <si>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</si>
  <si>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</si>
  <si>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</si>
  <si>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</si>
  <si>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</si>
  <si>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</si>
  <si>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</si>
  <si>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</si>
  <si>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</si>
  <si>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</si>
  <si>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</si>
  <si>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</si>
  <si>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</si>
  <si>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</si>
  <si>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</si>
  <si>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</si>
  <si>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</si>
  <si>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</si>
  <si>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</si>
  <si>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</si>
  <si>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</si>
  <si>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</si>
  <si>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</si>
  <si>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</si>
  <si>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</si>
  <si>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</si>
  <si>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</si>
  <si>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</si>
  <si>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</si>
  <si>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</si>
  <si>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</si>
  <si>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</si>
  <si>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</si>
  <si>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</si>
  <si>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</si>
  <si>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</si>
  <si>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</si>
  <si>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</si>
  <si>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</si>
  <si>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</si>
  <si>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</si>
  <si>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</si>
  <si>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</si>
  <si>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</si>
  <si>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</si>
  <si>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</si>
  <si>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</si>
  <si>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</si>
  <si>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</si>
  <si>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</si>
  <si>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</si>
  <si>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</si>
  <si>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</si>
  <si>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</si>
  <si>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</si>
  <si>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</si>
  <si>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</si>
  <si>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</si>
  <si>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</si>
  <si>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</si>
  <si>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</si>
  <si>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</si>
  <si>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</si>
  <si>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</si>
  <si>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</si>
  <si>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</si>
  <si>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</si>
  <si>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</si>
  <si>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</si>
  <si>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</si>
  <si>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</si>
  <si>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</si>
  <si>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</si>
  <si>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</si>
  <si>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</si>
  <si>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</si>
  <si>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</si>
  <si>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</si>
  <si>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</si>
  <si>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</si>
  <si>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</si>
  <si>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</si>
  <si>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</si>
  <si>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</si>
  <si>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</si>
  <si>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</si>
  <si>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</si>
  <si>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</si>
  <si>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</si>
  <si>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</si>
  <si>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</si>
  <si>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</si>
  <si>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</si>
  <si>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</si>
  <si>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</si>
  <si>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</si>
  <si>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</si>
  <si>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</si>
  <si>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</si>
  <si>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</si>
  <si>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</si>
  <si>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</si>
  <si>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</si>
  <si>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</si>
  <si>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</si>
  <si>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</si>
  <si>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</si>
  <si>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</si>
  <si>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</si>
  <si>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</si>
  <si>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</si>
  <si>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</si>
  <si>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</si>
  <si>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</si>
  <si>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</si>
  <si>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</si>
  <si>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</si>
  <si>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</si>
  <si>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</si>
  <si>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</si>
  <si>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</si>
  <si>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</si>
  <si>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</si>
  <si>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</si>
  <si>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</si>
  <si>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</si>
  <si>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</si>
  <si>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</si>
  <si>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</si>
  <si>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</si>
  <si>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</si>
  <si>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</si>
  <si>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</si>
  <si>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</si>
  <si>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</si>
  <si>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</si>
  <si>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</si>
  <si>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</si>
  <si>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</si>
  <si>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</si>
  <si>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</si>
  <si>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</si>
  <si>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</si>
  <si>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</si>
  <si>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</si>
  <si>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</si>
  <si>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</si>
  <si>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</si>
  <si>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</si>
  <si>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</si>
  <si>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</si>
  <si>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</si>
  <si>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</si>
  <si>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</si>
  <si>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</si>
  <si>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</si>
  <si>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</si>
  <si>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</si>
  <si>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</si>
  <si>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</si>
  <si>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</si>
  <si>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</si>
  <si>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</si>
  <si>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</si>
  <si>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</si>
  <si>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</si>
  <si>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</si>
  <si>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</si>
  <si>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</si>
  <si>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</si>
  <si>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</si>
  <si>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</si>
  <si>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</si>
  <si>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</si>
  <si>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</si>
  <si>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</si>
  <si>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</si>
  <si>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</si>
  <si>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</si>
  <si>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</si>
  <si>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</si>
  <si>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</si>
  <si>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</si>
  <si>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</si>
  <si>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</si>
  <si>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</si>
  <si>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</si>
  <si>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</si>
  <si>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</si>
  <si>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</si>
  <si>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</si>
  <si>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</si>
  <si>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</si>
  <si>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</si>
  <si>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</si>
  <si>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</si>
  <si>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</si>
  <si>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</si>
  <si>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</si>
  <si>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</si>
  <si>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</si>
  <si>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</si>
  <si>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</si>
  <si>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</si>
  <si>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</si>
  <si>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</si>
  <si>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</si>
  <si>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</si>
  <si>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</si>
  <si>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</si>
  <si>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</si>
  <si>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</si>
  <si>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</si>
  <si>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</si>
  <si>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</si>
  <si>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</si>
  <si>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</si>
  <si>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</si>
  <si>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</si>
  <si>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</si>
  <si>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</si>
  <si>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</si>
  <si>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</si>
  <si>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</si>
  <si>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</si>
  <si>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</si>
  <si>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</si>
  <si>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</si>
  <si>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</si>
  <si>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</si>
  <si>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</si>
  <si>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</si>
  <si>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</si>
  <si>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</si>
  <si>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</si>
  <si>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</si>
  <si>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</si>
  <si>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</si>
  <si>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</si>
  <si>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</si>
  <si>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</si>
  <si>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</si>
  <si>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</si>
  <si>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</si>
  <si>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</si>
  <si>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</si>
  <si>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</si>
  <si>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</si>
  <si>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</si>
  <si>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</si>
  <si>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</si>
  <si>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</si>
  <si>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</si>
  <si>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</si>
  <si>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</si>
  <si>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</si>
  <si>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</si>
  <si>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</si>
  <si>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</si>
  <si>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</si>
  <si>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</si>
  <si>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</si>
  <si>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</si>
  <si>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</si>
  <si>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</si>
  <si>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</si>
  <si>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</si>
  <si>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</si>
  <si>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</si>
  <si>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</si>
  <si>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</si>
  <si>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</si>
  <si>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</si>
  <si>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</si>
  <si>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</si>
  <si>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</si>
  <si>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</si>
  <si>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</si>
  <si>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</si>
  <si>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</si>
  <si>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</si>
  <si>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</si>
  <si>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</si>
  <si>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</si>
  <si>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</si>
  <si>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</si>
  <si>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</si>
  <si>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</si>
  <si>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</si>
  <si>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</si>
  <si>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</si>
  <si>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</si>
  <si>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</si>
  <si>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</si>
  <si>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</si>
  <si>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</si>
  <si>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</si>
  <si>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</si>
  <si>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</si>
  <si>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</si>
  <si>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</si>
  <si>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</si>
  <si>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</si>
  <si>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</si>
  <si>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</si>
  <si>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</si>
  <si>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</si>
  <si>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</si>
  <si>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</si>
  <si>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</si>
  <si>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</si>
  <si>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</si>
  <si>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</si>
  <si>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</si>
  <si>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</si>
  <si>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</si>
  <si>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</si>
  <si>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</si>
  <si>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</si>
  <si>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</si>
  <si>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</si>
  <si>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</si>
  <si>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</si>
  <si>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</si>
  <si>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</si>
  <si>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</si>
  <si>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</si>
  <si>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</si>
  <si>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</si>
  <si>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</si>
  <si>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</si>
  <si>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</si>
  <si>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</si>
  <si>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</si>
  <si>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</si>
  <si>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</si>
  <si>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</si>
  <si>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</si>
  <si>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</si>
  <si>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</si>
  <si>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</si>
  <si>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</si>
  <si>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</si>
  <si>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</si>
  <si>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</si>
  <si>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</si>
  <si>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</si>
  <si>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</si>
  <si>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</si>
  <si>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</si>
  <si>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</si>
  <si>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</si>
  <si>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</si>
  <si>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</si>
  <si>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</si>
  <si>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</si>
  <si>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</si>
  <si>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</si>
  <si>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</si>
  <si>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</si>
  <si>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</si>
  <si>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</si>
  <si>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</si>
  <si>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</si>
  <si>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</si>
  <si>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</si>
  <si>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</si>
  <si>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</si>
  <si>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</si>
  <si>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</si>
  <si>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</si>
  <si>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</si>
  <si>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</si>
  <si>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</si>
  <si>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</si>
  <si>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</si>
  <si>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</si>
  <si>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</si>
  <si>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</si>
  <si>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</si>
  <si>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</si>
  <si>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</si>
  <si>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</si>
  <si>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</si>
  <si>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</si>
  <si>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</si>
  <si>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</si>
  <si>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</si>
  <si>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</si>
  <si>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</si>
  <si>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</si>
  <si>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</si>
  <si>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</si>
  <si>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</si>
  <si>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</si>
  <si>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</si>
  <si>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</si>
  <si>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</si>
  <si>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</si>
  <si>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</si>
  <si>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</si>
  <si>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</si>
  <si>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</si>
  <si>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</si>
  <si>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</si>
  <si>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</si>
  <si>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</si>
  <si>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</si>
  <si>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</si>
  <si>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</si>
  <si>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</si>
  <si>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</si>
  <si>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</si>
  <si>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</si>
  <si>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</si>
  <si>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</si>
  <si>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</si>
  <si>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</si>
  <si>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</si>
  <si>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</si>
  <si>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</si>
  <si>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</si>
  <si>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</si>
  <si>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</si>
  <si>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</si>
  <si>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</si>
  <si>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</si>
  <si>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</si>
  <si>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</si>
  <si>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</si>
  <si>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</si>
  <si>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</si>
  <si>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</si>
  <si>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</si>
  <si>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</si>
  <si>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</si>
  <si>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</si>
  <si>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</si>
  <si>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</si>
  <si>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</si>
  <si>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</si>
  <si>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</si>
  <si>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</si>
  <si>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</si>
  <si>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</si>
  <si>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</si>
  <si>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</si>
  <si>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</si>
  <si>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</si>
  <si>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</si>
  <si>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</si>
  <si>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</si>
  <si>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</si>
  <si>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</si>
  <si>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</si>
  <si>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</si>
  <si>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</si>
  <si>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</si>
  <si>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</si>
  <si>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</si>
  <si>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</si>
  <si>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</si>
  <si>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</si>
  <si>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</si>
  <si>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</si>
  <si>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</si>
  <si>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</si>
  <si>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</si>
  <si>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</si>
  <si>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</si>
  <si>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</si>
  <si>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</si>
  <si>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</si>
  <si>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</si>
  <si>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</si>
  <si>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</si>
  <si>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</si>
  <si>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</si>
  <si>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</si>
  <si>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</si>
  <si>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</si>
  <si>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</si>
  <si>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</si>
  <si>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</si>
  <si>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</si>
  <si>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</si>
  <si>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</si>
  <si>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</si>
  <si>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</si>
  <si>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</si>
  <si>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</si>
  <si>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</si>
  <si>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</si>
  <si>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</si>
  <si>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</si>
  <si>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</si>
  <si>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</si>
  <si>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</si>
  <si>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</si>
  <si>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</si>
  <si>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</si>
  <si>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</si>
  <si>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</si>
  <si>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</si>
  <si>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</si>
  <si>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</si>
  <si>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</si>
  <si>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</si>
  <si>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</si>
  <si>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</si>
  <si>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</si>
  <si>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</si>
  <si>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</si>
  <si>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</si>
  <si>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</si>
  <si>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</si>
  <si>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</si>
  <si>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</si>
  <si>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</si>
  <si>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</si>
  <si>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</si>
  <si>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</si>
  <si>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</si>
  <si>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</si>
  <si>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</si>
  <si>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</si>
  <si>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</si>
  <si>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</si>
  <si>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</si>
  <si>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</si>
  <si>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</si>
  <si>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</si>
  <si>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</si>
  <si>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</si>
  <si>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</si>
  <si>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</si>
  <si>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</si>
  <si>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</si>
  <si>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</si>
  <si>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</si>
  <si>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</si>
  <si>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</si>
  <si>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</si>
  <si>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</si>
  <si>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</si>
  <si>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</si>
  <si>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</si>
  <si>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</si>
  <si>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</si>
  <si>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</si>
  <si>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</si>
  <si>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</si>
  <si>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</si>
  <si>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</si>
  <si>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</si>
  <si>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</si>
  <si>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</si>
  <si>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</si>
  <si>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</si>
  <si>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</si>
  <si>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</si>
  <si>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</si>
  <si>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</si>
  <si>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</si>
  <si>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</si>
  <si>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</si>
  <si>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</si>
  <si>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</si>
  <si>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</si>
  <si>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</si>
  <si>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</si>
  <si>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</si>
  <si>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</si>
  <si>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</si>
  <si>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</si>
  <si>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</si>
  <si>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</si>
  <si>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</si>
  <si>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</si>
  <si>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</si>
  <si>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</si>
  <si>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</si>
  <si>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</si>
  <si>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</si>
  <si>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</si>
  <si>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</si>
  <si>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</si>
  <si>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</si>
  <si>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</si>
  <si>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</si>
  <si>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</si>
  <si>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</si>
  <si>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</si>
  <si>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</si>
  <si>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</si>
  <si>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</si>
  <si>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</si>
  <si>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</si>
  <si>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</si>
  <si>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</si>
  <si>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</si>
  <si>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</si>
  <si>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</si>
  <si>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</si>
  <si>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</si>
  <si>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</si>
  <si>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</si>
  <si>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</si>
  <si>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</si>
  <si>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</si>
  <si>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</si>
  <si>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</si>
  <si>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</si>
  <si>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</si>
  <si>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</si>
  <si>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</si>
  <si>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</si>
  <si>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</si>
  <si>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</si>
  <si>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</si>
  <si>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</si>
  <si>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</si>
  <si>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</si>
  <si>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</si>
  <si>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</si>
  <si>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</si>
  <si>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</si>
  <si>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</si>
  <si>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</si>
  <si>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</si>
  <si>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</si>
  <si>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</si>
  <si>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</si>
  <si>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</si>
  <si>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</si>
  <si>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</si>
  <si>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</si>
  <si>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</si>
  <si>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</si>
  <si>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</si>
  <si>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</si>
  <si>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</si>
  <si>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</si>
  <si>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</si>
  <si>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</si>
  <si>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</si>
  <si>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</si>
  <si>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</si>
  <si>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</si>
  <si>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</si>
  <si>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</si>
  <si>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</si>
  <si>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</si>
  <si>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</si>
  <si>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</si>
  <si>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</si>
  <si>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</si>
  <si>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</si>
  <si>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</si>
  <si>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</si>
  <si>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</si>
  <si>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</si>
  <si>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</si>
  <si>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</si>
  <si>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</si>
  <si>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</si>
  <si>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</si>
  <si>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</si>
  <si>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</si>
  <si>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</si>
  <si>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</si>
  <si>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</si>
  <si>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</si>
  <si>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</si>
  <si>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</si>
  <si>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</si>
  <si>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</si>
  <si>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</si>
  <si>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</si>
  <si>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</si>
  <si>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</si>
  <si>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</si>
  <si>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</si>
  <si>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</si>
  <si>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</si>
  <si>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</si>
  <si>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</si>
  <si>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</si>
  <si>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</si>
  <si>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</si>
  <si>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</si>
  <si>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</si>
  <si>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</si>
  <si>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</si>
  <si>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</si>
  <si>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</si>
  <si>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</si>
  <si>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</si>
  <si>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</si>
  <si>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</si>
  <si>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</si>
  <si>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</si>
  <si>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</si>
  <si>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</si>
  <si>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</si>
  <si>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</si>
  <si>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</si>
  <si>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</si>
  <si>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</si>
  <si>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</si>
  <si>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</si>
  <si>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</si>
  <si>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</si>
  <si>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</si>
  <si>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</si>
  <si>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</si>
  <si>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</si>
  <si>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</si>
  <si>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</si>
  <si>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</si>
  <si>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</si>
  <si>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</si>
  <si>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</si>
  <si>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</si>
  <si>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</si>
  <si>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</si>
  <si>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</si>
  <si>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</si>
  <si>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</si>
  <si>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</si>
  <si>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</si>
  <si>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</si>
  <si>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</si>
  <si>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</si>
  <si>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</si>
  <si>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</si>
  <si>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</si>
  <si>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</si>
  <si>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</si>
  <si>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</si>
  <si>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</si>
  <si>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</si>
  <si>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</si>
  <si>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</si>
  <si>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</si>
  <si>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</si>
  <si>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</si>
  <si>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</si>
  <si>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</si>
  <si>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</si>
  <si>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</si>
  <si>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</si>
  <si>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</si>
  <si>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</si>
  <si>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</si>
  <si>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</si>
  <si>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</si>
  <si>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</si>
  <si>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</si>
  <si>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</si>
  <si>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</si>
  <si>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</si>
  <si>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</si>
  <si>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</si>
  <si>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</si>
  <si>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</si>
  <si>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</si>
  <si>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</si>
  <si>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</si>
  <si>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</si>
  <si>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</si>
  <si>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</si>
  <si>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</si>
  <si>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</si>
  <si>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</si>
  <si>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</si>
  <si>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</si>
  <si>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</si>
  <si>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</si>
  <si>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</si>
  <si>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</si>
  <si>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</si>
  <si>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</si>
  <si>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</si>
  <si>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</si>
  <si>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</si>
  <si>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</si>
  <si>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</si>
  <si>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</si>
  <si>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</si>
  <si>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</si>
  <si>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</si>
  <si>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</si>
  <si>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</si>
  <si>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</si>
  <si>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</si>
  <si>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</si>
  <si>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</si>
  <si>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</si>
  <si>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</si>
  <si>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</si>
  <si>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</si>
  <si>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</si>
  <si>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</si>
  <si>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</si>
  <si>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</si>
  <si>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</si>
  <si>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</si>
  <si>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</si>
  <si>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</si>
  <si>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</si>
  <si>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</si>
  <si>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</si>
  <si>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</si>
  <si>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</si>
  <si>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</si>
  <si>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</si>
  <si>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</si>
  <si>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</si>
  <si>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</si>
  <si>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</si>
  <si>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</si>
  <si>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</si>
  <si>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</si>
  <si>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</si>
  <si>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</si>
  <si>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</si>
  <si>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</si>
  <si>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</si>
  <si>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</si>
  <si>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</si>
  <si>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</si>
  <si>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</si>
  <si>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</si>
  <si>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</si>
  <si>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</si>
  <si>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</si>
  <si>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</si>
  <si>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</si>
  <si>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</si>
  <si>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</si>
  <si>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</si>
  <si>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</si>
  <si>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</si>
  <si>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</si>
  <si>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</si>
  <si>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</si>
  <si>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</si>
  <si>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</si>
  <si>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</si>
  <si>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</si>
  <si>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</si>
  <si>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</si>
  <si>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</si>
  <si>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</si>
  <si>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</si>
  <si>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</si>
  <si>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</si>
  <si>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</si>
  <si>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</si>
  <si>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</si>
  <si>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</si>
  <si>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</si>
  <si>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</si>
  <si>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</si>
  <si>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</si>
  <si>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</si>
  <si>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</si>
  <si>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</si>
  <si>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</si>
  <si>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</si>
  <si>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</si>
  <si>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</si>
  <si>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</si>
  <si>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</si>
  <si>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</si>
  <si>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</si>
  <si>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</si>
  <si>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</si>
  <si>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</si>
  <si>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</si>
  <si>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</si>
  <si>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</si>
  <si>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</si>
  <si>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</si>
  <si>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</si>
  <si>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</si>
  <si>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</si>
  <si>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</si>
  <si>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</si>
  <si>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</si>
  <si>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</si>
  <si>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</si>
  <si>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</si>
  <si>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</si>
  <si>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</si>
  <si>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</si>
  <si>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</si>
  <si>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</si>
  <si>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</si>
  <si>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</si>
  <si>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</si>
  <si>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</si>
  <si>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</si>
  <si>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</si>
  <si>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</si>
  <si>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</si>
  <si>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</si>
  <si>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</si>
  <si>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</si>
  <si>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</si>
  <si>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</si>
  <si>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</si>
  <si>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</si>
  <si>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</si>
  <si>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</si>
  <si>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</si>
  <si>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</si>
  <si>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</si>
  <si>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</si>
  <si>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</si>
  <si>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</si>
  <si>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</si>
  <si>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</si>
  <si>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</si>
  <si>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</si>
  <si>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</si>
  <si>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</si>
  <si>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</si>
  <si>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</si>
  <si>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</si>
  <si>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</si>
  <si>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</si>
  <si>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</si>
  <si>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</si>
  <si>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</si>
  <si>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</si>
  <si>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</si>
  <si>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</si>
  <si>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</si>
  <si>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</si>
  <si>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</si>
  <si>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</si>
  <si>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</si>
  <si>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</si>
  <si>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</si>
  <si>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</si>
  <si>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</si>
  <si>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</si>
  <si>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</si>
  <si>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</si>
  <si>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</si>
  <si>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</si>
  <si>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</si>
  <si>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</si>
  <si>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</si>
  <si>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</si>
  <si>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</si>
  <si>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</si>
  <si>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</si>
  <si>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</si>
  <si>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</si>
  <si>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</si>
  <si>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</si>
  <si>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</si>
  <si>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</si>
  <si>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</si>
  <si>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</si>
  <si>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</si>
  <si>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</si>
  <si>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</si>
  <si>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</si>
  <si>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</si>
  <si>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</si>
  <si>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</si>
  <si>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</si>
  <si>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</si>
  <si>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</si>
  <si>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</si>
  <si>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</si>
  <si>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</si>
  <si>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</si>
  <si>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</si>
  <si>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</si>
  <si>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</si>
  <si>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</si>
  <si>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</si>
  <si>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</si>
  <si>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</si>
  <si>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</si>
  <si>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</si>
  <si>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</si>
  <si>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</si>
  <si>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</si>
  <si>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</si>
  <si>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</si>
  <si>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</si>
  <si>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</si>
  <si>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</si>
  <si>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</si>
  <si>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</si>
  <si>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</si>
  <si>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</si>
  <si>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</si>
  <si>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</si>
  <si>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</si>
  <si>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</si>
  <si>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</si>
  <si>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</si>
  <si>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</si>
  <si>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</si>
  <si>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</si>
  <si>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</si>
  <si>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</si>
  <si>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</si>
  <si>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</si>
  <si>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</si>
  <si>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</si>
  <si>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</si>
  <si>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</si>
  <si>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</si>
  <si>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</si>
  <si>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</si>
  <si>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</si>
  <si>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</si>
  <si>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</si>
  <si>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</si>
  <si>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</si>
  <si>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</si>
  <si>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</si>
  <si>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</si>
  <si>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</si>
  <si>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</si>
  <si>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</si>
  <si>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</si>
  <si>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</si>
  <si>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</si>
  <si>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</si>
  <si>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</si>
  <si>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</si>
  <si>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</si>
  <si>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</si>
  <si>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</si>
  <si>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</si>
  <si>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</si>
  <si>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</si>
  <si>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</si>
  <si>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</si>
  <si>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</si>
  <si>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</si>
  <si>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</si>
  <si>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</si>
  <si>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</si>
  <si>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</si>
  <si>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</si>
  <si>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</si>
  <si>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</si>
  <si>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</si>
  <si>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</si>
  <si>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</si>
  <si>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</si>
  <si>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</si>
  <si>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</si>
  <si>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</si>
  <si>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</si>
  <si>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</si>
  <si>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</si>
  <si>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</si>
  <si>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</si>
  <si>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</si>
  <si>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</si>
  <si>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</si>
  <si>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</si>
  <si>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</si>
  <si>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</si>
  <si>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</si>
  <si>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</si>
  <si>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</si>
  <si>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</si>
  <si>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</si>
  <si>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</si>
  <si>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</si>
  <si>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</si>
  <si>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</si>
  <si>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</si>
  <si>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</si>
  <si>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</si>
  <si>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</si>
  <si>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</si>
  <si>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</si>
  <si>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</si>
  <si>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</si>
  <si>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</si>
  <si>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</si>
  <si>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</si>
  <si>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</si>
  <si>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</si>
  <si>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</si>
  <si>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</si>
  <si>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</si>
  <si>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</si>
  <si>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</si>
  <si>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</si>
  <si>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</si>
  <si>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</si>
  <si>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</si>
  <si>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</si>
  <si>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</si>
  <si>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</si>
  <si>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</si>
  <si>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</si>
  <si>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</si>
  <si>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</si>
  <si>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</si>
  <si>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</si>
  <si>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</si>
  <si>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</si>
  <si>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</si>
  <si>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</si>
  <si>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</si>
  <si>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</si>
  <si>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</si>
  <si>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</si>
  <si>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</si>
  <si>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</si>
  <si>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</si>
  <si>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</si>
  <si>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</si>
  <si>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</si>
  <si>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</si>
  <si>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</si>
  <si>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</si>
  <si>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</si>
  <si>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</si>
  <si>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</si>
  <si>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</si>
  <si>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</si>
  <si>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</si>
  <si>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</si>
  <si>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</si>
  <si>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</si>
  <si>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</si>
  <si>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</si>
  <si>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</si>
  <si>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</si>
  <si>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</si>
  <si>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</si>
  <si>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</si>
  <si>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</si>
  <si>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</si>
  <si>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</si>
  <si>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</si>
  <si>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</si>
  <si>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</si>
  <si>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</si>
  <si>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</si>
  <si>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</si>
  <si>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</si>
  <si>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</si>
  <si>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</si>
  <si>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</si>
  <si>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</si>
  <si>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</si>
  <si>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</si>
  <si>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</si>
  <si>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</si>
  <si>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</si>
  <si>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</si>
  <si>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</si>
  <si>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</si>
  <si>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</si>
  <si>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</si>
  <si>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</si>
  <si>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</si>
  <si>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</si>
  <si>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</si>
  <si>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</si>
  <si>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</si>
  <si>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</si>
  <si>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</si>
  <si>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</si>
  <si>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</si>
  <si>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</si>
  <si>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</si>
  <si>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</si>
  <si>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</si>
  <si>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</si>
  <si>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</si>
  <si>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</si>
  <si>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</si>
  <si>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</si>
  <si>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</si>
  <si>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</si>
  <si>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</si>
  <si>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</si>
  <si>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</si>
  <si>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</si>
  <si>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</si>
  <si>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</si>
  <si>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</si>
  <si>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</si>
  <si>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</si>
  <si>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</si>
  <si>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</si>
  <si>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</si>
  <si>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</si>
  <si>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</si>
  <si>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</si>
  <si>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</si>
  <si>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</si>
  <si>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</si>
  <si>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</si>
  <si>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</si>
  <si>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</si>
  <si>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</si>
  <si>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</si>
  <si>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</si>
  <si>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</si>
  <si>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</si>
  <si>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</si>
  <si>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</si>
  <si>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</si>
  <si>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</si>
  <si>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</si>
  <si>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</si>
  <si>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</si>
  <si>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</si>
  <si>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</si>
  <si>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</si>
  <si>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</si>
  <si>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</si>
  <si>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</si>
  <si>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</si>
  <si>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</si>
  <si>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</si>
  <si>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</si>
  <si>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</si>
  <si>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</si>
  <si>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</si>
  <si>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</si>
  <si>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</si>
  <si>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</si>
  <si>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</si>
  <si>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</si>
  <si>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</si>
  <si>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</si>
  <si>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</si>
  <si>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</si>
  <si>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</si>
  <si>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</si>
  <si>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</si>
  <si>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</si>
  <si>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</si>
  <si>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</si>
  <si>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</si>
  <si>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</si>
  <si>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</si>
  <si>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</si>
  <si>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</si>
  <si>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</si>
  <si>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</si>
  <si>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</si>
  <si>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</si>
  <si>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</si>
  <si>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</si>
  <si>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</si>
  <si>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</si>
  <si>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</si>
  <si>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</si>
  <si>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</si>
  <si>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</si>
  <si>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</si>
  <si>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</si>
  <si>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</si>
  <si>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</si>
  <si>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</si>
  <si>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</si>
  <si>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</si>
  <si>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</si>
  <si>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</si>
  <si>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</si>
  <si>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</si>
  <si>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</si>
  <si>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</si>
  <si>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</si>
  <si>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</si>
  <si>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</si>
  <si>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</si>
  <si>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</si>
  <si>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</si>
  <si>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</si>
  <si>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</si>
  <si>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</si>
  <si>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</si>
  <si>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</si>
  <si>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</si>
  <si>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</si>
  <si>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</si>
  <si>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</si>
  <si>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</si>
  <si>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</si>
  <si>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</si>
  <si>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</si>
  <si>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</si>
  <si>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</si>
  <si>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</si>
  <si>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</si>
  <si>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</si>
  <si>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</si>
  <si>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</si>
  <si>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</si>
  <si>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</si>
  <si>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</si>
  <si>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</si>
  <si>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</si>
  <si>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</si>
  <si>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</si>
  <si>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</si>
  <si>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</si>
  <si>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</si>
  <si>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</si>
  <si>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</si>
  <si>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</si>
  <si>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</si>
  <si>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</si>
  <si>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</si>
  <si>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</si>
  <si>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</si>
  <si>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</si>
  <si>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</si>
  <si>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</si>
  <si>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</si>
  <si>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</si>
  <si>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</si>
  <si>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</si>
  <si>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</si>
  <si>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</si>
  <si>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</si>
  <si>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</si>
  <si>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</si>
  <si>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</si>
  <si>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</si>
  <si>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</si>
  <si>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</si>
  <si>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</si>
  <si>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</si>
  <si>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</si>
  <si>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</si>
  <si>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</si>
  <si>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</si>
  <si>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</si>
  <si>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</si>
  <si>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</si>
  <si>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</si>
  <si>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</si>
  <si>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</si>
  <si>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</si>
  <si>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</si>
  <si>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</si>
  <si>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</si>
  <si>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</si>
  <si>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</si>
  <si>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</si>
  <si>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</si>
  <si>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</si>
  <si>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</si>
  <si>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</si>
  <si>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</si>
  <si>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</si>
  <si>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</si>
  <si>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</si>
  <si>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</si>
  <si>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</si>
  <si>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</si>
  <si>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</si>
  <si>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</si>
  <si>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</si>
  <si>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</si>
  <si>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</si>
  <si>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</si>
  <si>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</si>
  <si>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</si>
  <si>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</si>
  <si>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</si>
  <si>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</si>
  <si>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</si>
  <si>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</si>
  <si>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</si>
  <si>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</si>
  <si>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</si>
  <si>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</si>
  <si>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</si>
  <si>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</si>
  <si>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</si>
  <si>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</si>
  <si>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</si>
  <si>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</si>
  <si>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</si>
  <si>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</si>
  <si>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</si>
  <si>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</si>
  <si>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</si>
  <si>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</si>
  <si>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</si>
  <si>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</si>
  <si>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</si>
  <si>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</si>
  <si>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</si>
  <si>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</si>
  <si>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</si>
  <si>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</si>
  <si>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</si>
  <si>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</si>
  <si>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</si>
  <si>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</si>
  <si>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</si>
  <si>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</si>
  <si>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</si>
  <si>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</si>
  <si>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</si>
  <si>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</si>
  <si>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</si>
  <si>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</si>
  <si>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</si>
  <si>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</si>
  <si>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</si>
  <si>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</si>
  <si>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</si>
  <si>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</si>
  <si>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</si>
  <si>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</si>
  <si>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</si>
  <si>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</si>
  <si>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</si>
  <si>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</si>
  <si>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</si>
  <si>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</si>
  <si>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</si>
  <si>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</si>
  <si>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</si>
  <si>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</si>
  <si>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</si>
  <si>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</si>
  <si>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</si>
  <si>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</si>
  <si>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</si>
  <si>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</si>
  <si>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</si>
  <si>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</si>
  <si>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</si>
  <si>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</si>
  <si>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</si>
  <si>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</si>
  <si>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</si>
  <si>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</si>
  <si>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</si>
  <si>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</si>
  <si>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</si>
  <si>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</si>
  <si>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</si>
  <si>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</si>
  <si>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</si>
  <si>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</si>
  <si>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</si>
  <si>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</si>
  <si>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</si>
  <si>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</si>
  <si>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</si>
  <si>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</si>
  <si>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</si>
  <si>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</si>
  <si>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</si>
  <si>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</si>
  <si>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</si>
  <si>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</si>
  <si>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</si>
  <si>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</si>
  <si>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</si>
  <si>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</si>
  <si>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</si>
  <si>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</si>
  <si>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</si>
  <si>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</si>
  <si>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</si>
  <si>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</si>
  <si>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</si>
  <si>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</si>
  <si>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</si>
  <si>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</si>
  <si>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</si>
  <si>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</si>
  <si>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</si>
  <si>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</si>
  <si>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</si>
  <si>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</si>
  <si>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</si>
  <si>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</si>
  <si>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</si>
  <si>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</si>
  <si>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</si>
  <si>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</si>
  <si>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</si>
  <si>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</si>
  <si>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</si>
  <si>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</si>
  <si>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</si>
  <si>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</si>
  <si>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</si>
  <si>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</si>
  <si>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</si>
  <si>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</si>
  <si>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</si>
  <si>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</si>
  <si>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</si>
  <si>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</si>
  <si>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</si>
  <si>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</si>
  <si>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</si>
  <si>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</si>
  <si>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</si>
  <si>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</si>
  <si>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</si>
  <si>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</si>
  <si>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</si>
  <si>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</si>
  <si>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</si>
  <si>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</si>
  <si>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</si>
  <si>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</si>
  <si>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</si>
  <si>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</si>
  <si>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</si>
  <si>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</si>
  <si>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</si>
  <si>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</si>
  <si>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</si>
  <si>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</si>
  <si>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</si>
  <si>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</si>
  <si>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</si>
  <si>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</si>
  <si>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</si>
  <si>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</si>
  <si>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</si>
  <si>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</si>
  <si>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</si>
  <si>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</si>
  <si>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</si>
  <si>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</si>
  <si>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</si>
  <si>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</si>
  <si>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</si>
  <si>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</si>
  <si>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</si>
  <si>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</si>
  <si>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</si>
  <si>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</si>
  <si>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</si>
  <si>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</si>
  <si>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</si>
  <si>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</si>
  <si>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</si>
  <si>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</si>
  <si>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</si>
  <si>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</si>
  <si>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</si>
  <si>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</si>
  <si>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</si>
  <si>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</si>
  <si>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</si>
  <si>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</si>
  <si>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</si>
  <si>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</si>
  <si>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</si>
  <si>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</si>
  <si>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</si>
  <si>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</si>
  <si>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</si>
  <si>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</si>
  <si>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</si>
  <si>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</si>
  <si>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</si>
  <si>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</si>
  <si>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</si>
  <si>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</si>
  <si>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</si>
  <si>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</si>
  <si>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</si>
  <si>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</si>
  <si>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</si>
  <si>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</si>
  <si>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</si>
  <si>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</si>
  <si>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</si>
  <si>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</si>
  <si>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</si>
  <si>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</si>
  <si>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</si>
  <si>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</si>
  <si>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</si>
  <si>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</si>
  <si>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</si>
  <si>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</si>
  <si>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</si>
  <si>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</si>
  <si>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</si>
  <si>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</si>
  <si>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</si>
  <si>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</si>
  <si>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</si>
  <si>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</si>
  <si>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</si>
  <si>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</si>
  <si>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</si>
  <si>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</si>
  <si>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</si>
  <si>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</si>
  <si>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</si>
  <si>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</si>
  <si>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</si>
  <si>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</si>
  <si>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</si>
  <si>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</si>
  <si>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</si>
  <si>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</si>
  <si>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</si>
  <si>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</si>
  <si>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</si>
  <si>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</si>
  <si>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</si>
  <si>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</si>
  <si>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</si>
  <si>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</si>
  <si>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</si>
  <si>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</si>
  <si>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</si>
  <si>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</si>
  <si>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</si>
  <si>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</si>
  <si>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</si>
  <si>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</si>
  <si>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</si>
  <si>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</si>
  <si>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</si>
  <si>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</si>
  <si>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</si>
  <si>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</si>
  <si>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</si>
  <si>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</si>
  <si>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</si>
  <si>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</si>
  <si>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</si>
  <si>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</si>
  <si>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</si>
  <si>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</si>
  <si>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</si>
  <si>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</si>
  <si>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</si>
  <si>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</si>
  <si>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</si>
  <si>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</si>
  <si>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</si>
  <si>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</si>
  <si>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</si>
  <si>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</si>
  <si>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</si>
  <si>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</si>
  <si>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</si>
  <si>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</si>
  <si>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</si>
  <si>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</si>
  <si>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</si>
  <si>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</si>
  <si>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</si>
  <si>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</si>
  <si>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</si>
  <si>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</si>
  <si>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</si>
  <si>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</si>
  <si>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</si>
  <si>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</si>
  <si>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</si>
  <si>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</si>
  <si>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</si>
  <si>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</si>
  <si>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</si>
  <si>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</si>
  <si>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</si>
  <si>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</si>
  <si>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</si>
  <si>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</si>
  <si>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</si>
  <si>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</si>
  <si>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</si>
  <si>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</si>
  <si>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</si>
  <si>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</si>
  <si>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</si>
  <si>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</si>
  <si>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</si>
  <si>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</si>
  <si>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</si>
  <si>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</si>
  <si>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</si>
  <si>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</si>
  <si>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</si>
  <si>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</si>
  <si>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</si>
  <si>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</si>
  <si>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</si>
  <si>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</si>
  <si>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</si>
  <si>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</si>
  <si>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</si>
  <si>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</si>
  <si>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</si>
  <si>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</si>
  <si>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</si>
  <si>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</si>
  <si>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</si>
  <si>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</si>
  <si>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</si>
  <si>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</si>
  <si>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</si>
  <si>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</si>
  <si>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</si>
  <si>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</si>
  <si>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</si>
  <si>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</si>
  <si>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</si>
  <si>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</si>
  <si>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</si>
  <si>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</si>
  <si>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</si>
  <si>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</si>
  <si>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</si>
  <si>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</si>
  <si>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</si>
  <si>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</si>
  <si>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</si>
  <si>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</si>
  <si>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</si>
  <si>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</si>
  <si>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</si>
  <si>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</si>
  <si>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</si>
  <si>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</si>
  <si>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</si>
  <si>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</si>
  <si>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</si>
  <si>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</si>
  <si>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</si>
  <si>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</si>
  <si>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</si>
  <si>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</si>
  <si>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</si>
  <si>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</si>
  <si>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</si>
  <si>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</si>
  <si>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</si>
  <si>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</si>
  <si>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</si>
  <si>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</si>
  <si>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</si>
  <si>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</si>
  <si>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</si>
  <si>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</si>
  <si>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</si>
  <si>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</si>
  <si>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</si>
  <si>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</si>
  <si>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</si>
  <si>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</si>
  <si>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</si>
  <si>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</si>
  <si>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</si>
  <si>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</si>
  <si>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</si>
  <si>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</si>
  <si>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</si>
  <si>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</si>
  <si>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</si>
  <si>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</si>
  <si>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</si>
  <si>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</si>
  <si>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</si>
  <si>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</si>
  <si>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</si>
  <si>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</si>
  <si>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</si>
  <si>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</si>
  <si>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</si>
  <si>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</si>
  <si>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</si>
  <si>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</si>
  <si>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</si>
  <si>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</si>
  <si>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</si>
  <si>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</si>
  <si>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</si>
  <si>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</si>
  <si>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</si>
  <si>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</si>
  <si>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</si>
  <si>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</si>
  <si>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</si>
  <si>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</si>
  <si>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</si>
  <si>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</si>
  <si>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</si>
  <si>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</si>
  <si>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</si>
  <si>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</si>
  <si>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</si>
  <si>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</si>
  <si>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</si>
  <si>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</si>
  <si>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</si>
  <si>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</si>
  <si>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</si>
  <si>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</si>
  <si>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</si>
  <si>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</si>
  <si>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</si>
  <si>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</si>
  <si>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</si>
  <si>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</si>
  <si>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</si>
  <si>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</si>
  <si>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</si>
  <si>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</si>
  <si>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</si>
  <si>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</si>
  <si>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</si>
  <si>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</si>
  <si>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</si>
  <si>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</si>
  <si>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</si>
  <si>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</si>
  <si>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</si>
  <si>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</si>
  <si>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</si>
  <si>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</si>
  <si>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</si>
  <si>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</si>
  <si>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</si>
  <si>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</si>
  <si>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</si>
  <si>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</si>
  <si>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</si>
  <si>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</si>
  <si>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</si>
  <si>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</si>
  <si>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</si>
  <si>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</si>
  <si>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</si>
  <si>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</si>
  <si>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</si>
  <si>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</si>
  <si>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</si>
  <si>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</si>
  <si>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</si>
  <si>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</si>
  <si>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</si>
  <si>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</si>
  <si>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</si>
  <si>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</si>
  <si>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</si>
  <si>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</si>
  <si>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</si>
  <si>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</si>
  <si>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</si>
  <si>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</si>
  <si>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</si>
  <si>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</si>
  <si>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</si>
  <si>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</si>
  <si>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</si>
  <si>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</si>
  <si>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</si>
  <si>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</si>
  <si>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</si>
  <si>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</si>
  <si>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</si>
  <si>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</si>
  <si>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</si>
  <si>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</si>
  <si>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</si>
  <si>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</si>
  <si>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</si>
  <si>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</si>
  <si>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</si>
  <si>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</si>
  <si>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</si>
  <si>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</si>
  <si>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</si>
  <si>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</si>
  <si>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</si>
  <si>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</si>
  <si>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</si>
  <si>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</si>
  <si>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</si>
  <si>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</si>
  <si>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</si>
  <si>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</si>
  <si>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</si>
  <si>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</si>
  <si>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</si>
  <si>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</si>
  <si>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</si>
  <si>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</si>
  <si>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</si>
  <si>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</si>
  <si>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</si>
  <si>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</si>
  <si>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</si>
  <si>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</si>
  <si>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</si>
  <si>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</si>
  <si>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</si>
  <si>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</si>
  <si>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</si>
  <si>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</si>
  <si>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</si>
  <si>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</si>
  <si>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</si>
  <si>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</si>
  <si>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</si>
  <si>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</si>
  <si>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</si>
  <si>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</si>
  <si>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</si>
  <si>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</si>
  <si>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</si>
  <si>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</si>
  <si>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</si>
  <si>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</si>
  <si>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</si>
  <si>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</si>
  <si>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</si>
  <si>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</si>
  <si>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</si>
  <si>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</si>
  <si>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</si>
  <si>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</si>
  <si>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</si>
  <si>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</si>
  <si>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</si>
  <si>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</si>
  <si>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</si>
  <si>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</si>
  <si>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</si>
  <si>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</si>
  <si>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</si>
  <si>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</si>
  <si>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</si>
  <si>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</si>
  <si>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</si>
  <si>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</si>
  <si>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</si>
  <si>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</si>
  <si>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</si>
  <si>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</si>
  <si>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</si>
  <si>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</si>
  <si>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</si>
  <si>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</si>
  <si>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</si>
  <si>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</si>
  <si>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</si>
  <si>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</si>
  <si>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</si>
  <si>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</si>
  <si>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</si>
  <si>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</si>
  <si>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</si>
  <si>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</si>
  <si>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</si>
  <si>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</si>
  <si>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</si>
  <si>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</si>
  <si>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</si>
  <si>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</si>
  <si>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</si>
  <si>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</si>
  <si>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</si>
  <si>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</si>
  <si>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</si>
  <si>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</si>
  <si>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</si>
  <si>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</si>
  <si>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</si>
  <si>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</si>
  <si>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</si>
  <si>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</si>
  <si>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</si>
  <si>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</si>
  <si>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</si>
  <si>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</si>
  <si>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</si>
  <si>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</si>
  <si>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</si>
  <si>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</si>
  <si>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</si>
  <si>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</si>
  <si>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</si>
  <si>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</si>
  <si>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</si>
  <si>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</si>
  <si>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</si>
  <si>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</si>
  <si>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</si>
  <si>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</si>
  <si>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</si>
  <si>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</si>
  <si>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</si>
  <si>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</si>
  <si>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</si>
  <si>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</si>
  <si>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</si>
  <si>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</si>
  <si>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</si>
  <si>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</si>
  <si>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</si>
  <si>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</si>
  <si>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</si>
  <si>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</si>
  <si>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</si>
  <si>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</si>
  <si>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</si>
  <si>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</si>
  <si>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</si>
  <si>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</si>
  <si>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</si>
  <si>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</si>
  <si>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</si>
  <si>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</si>
  <si>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</si>
  <si>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</si>
  <si>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</si>
  <si>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</si>
  <si>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</si>
  <si>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</si>
  <si>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</si>
  <si>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</si>
  <si>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</si>
  <si>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</si>
  <si>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</si>
  <si>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</si>
  <si>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</si>
  <si>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</si>
  <si>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</si>
  <si>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</si>
  <si>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</si>
  <si>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</si>
  <si>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</si>
  <si>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</si>
  <si>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</si>
  <si>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</si>
  <si>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</si>
  <si>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</si>
  <si>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</si>
  <si>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</si>
  <si>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</si>
  <si>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</si>
  <si>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</si>
  <si>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</si>
  <si>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</si>
  <si>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</si>
  <si>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</si>
  <si>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</si>
  <si>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</si>
  <si>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</si>
  <si>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</si>
  <si>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</si>
  <si>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</si>
  <si>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</si>
  <si>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</si>
  <si>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</si>
  <si>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</si>
  <si>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</si>
  <si>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</si>
  <si>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</si>
  <si>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</si>
  <si>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</si>
  <si>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</si>
  <si>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</si>
  <si>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</si>
  <si>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</si>
  <si>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</si>
  <si>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</si>
  <si>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</si>
  <si>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</si>
  <si>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</si>
  <si>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</si>
  <si>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</si>
  <si>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</si>
  <si>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</si>
  <si>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</si>
  <si>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</si>
  <si>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</si>
  <si>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</si>
  <si>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</si>
  <si>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</si>
  <si>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</si>
  <si>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</si>
  <si>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</si>
  <si>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</si>
  <si>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</si>
  <si>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</si>
  <si>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</si>
  <si>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</si>
  <si>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</si>
  <si>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</si>
  <si>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</si>
  <si>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</si>
  <si>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</si>
  <si>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</si>
  <si>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</si>
  <si>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</si>
  <si>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</si>
  <si>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</si>
  <si>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</si>
  <si>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</si>
  <si>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</si>
  <si>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</si>
  <si>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</si>
  <si>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</si>
  <si>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</si>
  <si>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</si>
  <si>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</si>
  <si>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</si>
  <si>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</si>
  <si>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</si>
  <si>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</si>
  <si>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</si>
  <si>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</si>
  <si>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</si>
  <si>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</si>
  <si>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</si>
  <si>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</si>
  <si>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</si>
  <si>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</si>
  <si>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</si>
  <si>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</si>
  <si>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</si>
  <si>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</si>
  <si>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</si>
  <si>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</si>
  <si>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</si>
  <si>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</si>
  <si>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</si>
  <si>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</si>
  <si>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</si>
  <si>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</si>
  <si>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</si>
  <si>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</si>
  <si>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</si>
  <si>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</si>
  <si>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</si>
  <si>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</si>
  <si>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</si>
  <si>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</si>
  <si>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</si>
  <si>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</si>
  <si>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</si>
  <si>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</si>
  <si>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</si>
  <si>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</si>
  <si>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</si>
  <si>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</si>
  <si>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</si>
  <si>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</si>
  <si>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</si>
  <si>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</si>
  <si>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</si>
  <si>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</si>
  <si>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</si>
  <si>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</si>
  <si>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</si>
  <si>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</si>
  <si>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</si>
  <si>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</si>
  <si>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</si>
  <si>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</si>
  <si>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</si>
  <si>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</si>
  <si>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</si>
  <si>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</si>
  <si>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</si>
  <si>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</si>
  <si>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</si>
  <si>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</si>
  <si>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</si>
  <si>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</si>
  <si>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</si>
  <si>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</si>
  <si>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</si>
  <si>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</si>
  <si>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</si>
  <si>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</si>
  <si>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</si>
  <si>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</si>
  <si>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</si>
  <si>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</si>
  <si>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</si>
  <si>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</si>
  <si>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</si>
  <si>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</si>
  <si>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</si>
  <si>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</si>
  <si>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</si>
  <si>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</si>
  <si>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</si>
  <si>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</si>
  <si>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</si>
  <si>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</si>
  <si>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</si>
  <si>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</si>
  <si>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</si>
  <si>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</si>
  <si>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</si>
  <si>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</si>
  <si>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</si>
  <si>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</si>
  <si>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</si>
  <si>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</si>
  <si>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</si>
  <si>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</si>
  <si>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</si>
  <si>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</si>
  <si>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</si>
  <si>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</si>
  <si>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</si>
  <si>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</si>
  <si>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</si>
  <si>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</si>
  <si>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</si>
  <si>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</si>
  <si>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</si>
  <si>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</si>
  <si>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</si>
  <si>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</si>
  <si>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</si>
  <si>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</si>
  <si>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</si>
  <si>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</si>
  <si>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</si>
  <si>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</si>
  <si>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</si>
  <si>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</si>
  <si>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</si>
  <si>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</si>
  <si>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</si>
  <si>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</si>
  <si>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</si>
  <si>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</si>
  <si>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</si>
  <si>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</si>
  <si>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</si>
  <si>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</si>
  <si>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</si>
  <si>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</si>
  <si>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</si>
  <si>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</si>
  <si>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</si>
  <si>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</si>
  <si>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</si>
  <si>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</si>
  <si>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</si>
  <si>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</si>
  <si>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</si>
  <si>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</si>
  <si>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</si>
  <si>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</si>
  <si>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</si>
  <si>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</si>
  <si>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</si>
  <si>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</si>
  <si>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</si>
  <si>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</si>
  <si>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</si>
  <si>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</si>
  <si>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</si>
  <si>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</si>
  <si>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</si>
  <si>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</si>
  <si>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</si>
  <si>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</si>
  <si>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</si>
  <si>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</si>
  <si>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</si>
  <si>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</si>
  <si>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</si>
  <si>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</si>
  <si>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</si>
  <si>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</si>
  <si>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</si>
  <si>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</si>
  <si>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</si>
  <si>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</si>
  <si>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</si>
  <si>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</si>
  <si>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</si>
  <si>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</si>
  <si>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</si>
  <si>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</si>
  <si>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</si>
  <si>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</si>
  <si>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</si>
  <si>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</si>
  <si>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</si>
  <si>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</si>
  <si>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</si>
  <si>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</si>
  <si>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</si>
  <si>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</si>
  <si>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</si>
  <si>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</si>
  <si>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</si>
  <si>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</si>
  <si>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</si>
  <si>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</si>
  <si>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</si>
  <si>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</si>
  <si>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</si>
  <si>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</si>
  <si>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</si>
  <si>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</si>
  <si>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</si>
  <si>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</si>
  <si>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</si>
  <si>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</si>
  <si>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</si>
  <si>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</si>
  <si>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</si>
  <si>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</si>
  <si>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</si>
  <si>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</si>
  <si>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</si>
  <si>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</si>
  <si>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</si>
  <si>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</si>
  <si>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</si>
  <si>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</si>
  <si>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</si>
  <si>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</si>
  <si>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</si>
  <si>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</si>
  <si>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</si>
  <si>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</si>
  <si>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</si>
  <si>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</si>
  <si>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</si>
  <si>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</si>
  <si>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</si>
  <si>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</si>
  <si>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</si>
  <si>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</si>
  <si>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</si>
  <si>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</si>
  <si>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</si>
  <si>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</si>
  <si>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</si>
  <si>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</si>
  <si>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</si>
  <si>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</si>
  <si>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</si>
  <si>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</si>
  <si>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</si>
  <si>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</si>
  <si>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</si>
  <si>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</si>
  <si>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</si>
  <si>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</si>
  <si>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</si>
  <si>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</si>
  <si>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</si>
  <si>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</si>
  <si>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</si>
  <si>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</si>
  <si>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</si>
  <si>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</si>
  <si>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</si>
  <si>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</si>
  <si>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</si>
  <si>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</si>
  <si>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</si>
  <si>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</si>
  <si>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</si>
  <si>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</si>
  <si>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</si>
  <si>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</si>
  <si>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</si>
  <si>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</si>
  <si>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</si>
  <si>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</si>
  <si>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</si>
  <si>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</si>
  <si>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</si>
  <si>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</si>
  <si>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</si>
  <si>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</si>
  <si>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</si>
  <si>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</si>
  <si>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</si>
  <si>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</si>
  <si>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</si>
  <si>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</si>
  <si>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</si>
  <si>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</si>
  <si>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</si>
  <si>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</si>
  <si>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</si>
  <si>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</si>
  <si>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</si>
  <si>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</si>
  <si>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</si>
  <si>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</si>
  <si>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</si>
  <si>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</si>
  <si>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</si>
  <si>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</si>
  <si>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</si>
  <si>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</si>
  <si>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</si>
  <si>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</si>
  <si>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</si>
  <si>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</si>
  <si>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</si>
  <si>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</si>
  <si>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</si>
  <si>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</si>
  <si>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</si>
  <si>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</si>
  <si>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</si>
  <si>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</si>
  <si>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</si>
  <si>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</si>
  <si>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</si>
  <si>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</si>
  <si>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</si>
  <si>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</si>
  <si>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</si>
  <si>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</si>
  <si>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</si>
  <si>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</si>
  <si>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</si>
  <si>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</si>
  <si>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</si>
  <si>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</si>
  <si>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</si>
  <si>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</si>
  <si>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</si>
  <si>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</si>
  <si>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</si>
  <si>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</si>
  <si>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</si>
  <si>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</si>
  <si>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</si>
  <si>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</si>
  <si>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</si>
  <si>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</si>
  <si>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</si>
  <si>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</si>
  <si>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</si>
  <si>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</si>
  <si>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</si>
  <si>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</si>
  <si>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</si>
  <si>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</si>
  <si>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</si>
  <si>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</si>
  <si>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</si>
  <si>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</si>
  <si>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</si>
  <si>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</si>
  <si>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</si>
  <si>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</si>
  <si>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</si>
  <si>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</si>
  <si>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</si>
  <si>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</si>
  <si>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</si>
  <si>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</si>
  <si>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</si>
  <si>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</si>
  <si>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</si>
  <si>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</si>
  <si>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</si>
  <si>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</si>
  <si>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</si>
  <si>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</si>
  <si>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</si>
  <si>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</si>
  <si>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</si>
  <si>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</si>
  <si>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</si>
  <si>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</si>
  <si>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</si>
  <si>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</si>
  <si>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</si>
  <si>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</si>
  <si>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</si>
  <si>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</si>
  <si>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</si>
  <si>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</si>
  <si>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</si>
  <si>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</si>
  <si>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</si>
  <si>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</si>
  <si>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</si>
  <si>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</si>
  <si>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</si>
  <si>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</si>
  <si>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</si>
  <si>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</si>
  <si>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</si>
  <si>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</si>
  <si>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</si>
  <si>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</si>
  <si>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</si>
  <si>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</si>
  <si>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</si>
  <si>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</si>
  <si>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</si>
  <si>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</si>
  <si>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</si>
  <si>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</si>
  <si>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</si>
  <si>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</si>
  <si>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</si>
  <si>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</si>
  <si>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</si>
  <si>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</si>
  <si>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</si>
  <si>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</si>
  <si>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</si>
  <si>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</si>
  <si>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</si>
  <si>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</si>
  <si>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</si>
  <si>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</si>
  <si>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</si>
  <si>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</si>
  <si>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</si>
  <si>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</si>
  <si>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</si>
  <si>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</si>
  <si>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</si>
  <si>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</si>
  <si>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</si>
  <si>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</si>
  <si>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</si>
  <si>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</si>
  <si>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</si>
  <si>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</si>
  <si>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</si>
  <si>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</si>
  <si>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</si>
  <si>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</si>
  <si>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</si>
  <si>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</si>
  <si>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</si>
  <si>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</si>
  <si>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</si>
  <si>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</si>
  <si>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</si>
  <si>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</si>
  <si>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</si>
  <si>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</si>
  <si>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</si>
  <si>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</si>
  <si>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</si>
  <si>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</si>
  <si>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</si>
  <si>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</si>
  <si>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</si>
  <si>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</si>
  <si>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</si>
  <si>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</si>
  <si>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</si>
  <si>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</si>
  <si>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</si>
  <si>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</si>
  <si>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</si>
  <si>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</si>
  <si>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</si>
  <si>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</si>
  <si>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</si>
  <si>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</si>
  <si>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</si>
  <si>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</si>
  <si>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</si>
  <si>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</si>
  <si>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</si>
  <si>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</si>
  <si>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</si>
  <si>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</si>
  <si>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</si>
  <si>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</si>
  <si>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</si>
  <si>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</si>
  <si>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</si>
  <si>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</si>
  <si>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</si>
  <si>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</si>
  <si>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</si>
  <si>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</si>
  <si>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</si>
  <si>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</si>
  <si>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</si>
  <si>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</si>
  <si>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</si>
  <si>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</si>
  <si>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</si>
  <si>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</si>
  <si>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</si>
  <si>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</si>
  <si>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</si>
  <si>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</si>
  <si>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</si>
  <si>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</si>
  <si>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</si>
  <si>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</si>
  <si>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</si>
  <si>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</si>
  <si>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</si>
  <si>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</si>
  <si>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</si>
  <si>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</si>
  <si>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</si>
  <si>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</si>
  <si>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</si>
  <si>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</si>
  <si>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</si>
  <si>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</si>
  <si>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</si>
  <si>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</si>
  <si>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</si>
  <si>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</si>
  <si>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</si>
  <si>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</si>
  <si>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</si>
  <si>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</si>
  <si>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</si>
  <si>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</si>
  <si>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</si>
  <si>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</si>
  <si>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</si>
  <si>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</si>
  <si>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</si>
  <si>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</si>
  <si>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</si>
  <si>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</si>
  <si>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</si>
  <si>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</si>
  <si>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</si>
  <si>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</si>
  <si>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</si>
  <si>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</si>
  <si>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</si>
  <si>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</si>
  <si>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</si>
  <si>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</si>
  <si>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</si>
  <si>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</si>
  <si>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</si>
  <si>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</si>
  <si>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</si>
  <si>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</si>
  <si>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</si>
  <si>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</si>
  <si>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</si>
  <si>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</si>
  <si>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</si>
  <si>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</si>
  <si>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</si>
  <si>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</si>
  <si>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</si>
  <si>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</si>
  <si>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</si>
  <si>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</si>
  <si>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</si>
  <si>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</si>
  <si>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</si>
  <si>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</si>
  <si>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</si>
  <si>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</si>
  <si>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</si>
  <si>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</si>
  <si>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</si>
  <si>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</si>
  <si>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</si>
  <si>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</si>
  <si>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</si>
  <si>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</si>
  <si>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</si>
  <si>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</si>
  <si>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</si>
  <si>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</si>
  <si>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</si>
  <si>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</si>
  <si>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</si>
  <si>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</si>
  <si>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</si>
  <si>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</si>
  <si>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</si>
  <si>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</si>
  <si>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</si>
  <si>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</si>
  <si>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</si>
  <si>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</si>
  <si>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</si>
  <si>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</si>
  <si>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</si>
  <si>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</si>
  <si>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</si>
  <si>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</si>
  <si>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</si>
  <si>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</si>
  <si>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</si>
  <si>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</si>
  <si>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</si>
  <si>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</si>
  <si>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</si>
  <si>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</si>
  <si>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</si>
  <si>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</si>
  <si>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</si>
  <si>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</si>
  <si>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</si>
  <si>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</si>
  <si>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</si>
  <si>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</si>
  <si>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</si>
  <si>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</si>
  <si>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</si>
  <si>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</si>
  <si>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</si>
  <si>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</si>
  <si>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</si>
  <si>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</si>
  <si>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</si>
  <si>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</si>
  <si>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</si>
  <si>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</si>
  <si>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</si>
  <si>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</si>
  <si>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</si>
  <si>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</si>
  <si>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</si>
  <si>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</si>
  <si>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</si>
  <si>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</si>
  <si>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</si>
  <si>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</si>
  <si>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</si>
  <si>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</si>
  <si>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</si>
  <si>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</si>
  <si>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</si>
  <si>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</si>
  <si>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</si>
  <si>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</si>
  <si>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</si>
  <si>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</si>
  <si>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</si>
  <si>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</si>
  <si>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</si>
  <si>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</si>
  <si>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</si>
  <si>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</si>
  <si>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</si>
  <si>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</si>
  <si>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</si>
  <si>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</si>
  <si>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</si>
  <si>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</si>
  <si>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</si>
  <si>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</si>
  <si>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</si>
  <si>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</si>
  <si>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</si>
  <si>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</si>
  <si>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</si>
  <si>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</si>
  <si>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</si>
  <si>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</si>
  <si>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</si>
  <si>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</si>
  <si>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</si>
  <si>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</si>
  <si>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</si>
  <si>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</si>
  <si>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</si>
  <si>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</si>
  <si>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</si>
  <si>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</si>
  <si>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</si>
  <si>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</si>
  <si>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</si>
  <si>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</si>
  <si>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</si>
  <si>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</si>
  <si>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</si>
  <si>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</si>
  <si>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</si>
  <si>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</si>
  <si>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</si>
  <si>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</si>
  <si>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</si>
  <si>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</si>
  <si>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</si>
  <si>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</si>
  <si>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</si>
  <si>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</si>
  <si>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</si>
  <si>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</si>
  <si>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</si>
  <si>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</si>
  <si>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</si>
  <si>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</si>
  <si>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</si>
  <si>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</si>
  <si>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</si>
  <si>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</si>
  <si>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</si>
  <si>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</si>
  <si>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</si>
  <si>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</si>
  <si>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</si>
  <si>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</si>
  <si>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</si>
  <si>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</si>
  <si>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</si>
  <si>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</si>
  <si>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</si>
  <si>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</si>
  <si>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</si>
  <si>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</si>
  <si>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</si>
  <si>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</si>
  <si>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</si>
  <si>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</si>
  <si>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</si>
  <si>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</si>
  <si>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</si>
  <si>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</si>
  <si>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</si>
  <si>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</si>
  <si>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</si>
  <si>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</si>
  <si>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</si>
  <si>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</si>
  <si>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</si>
  <si>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</si>
  <si>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</si>
  <si>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</si>
  <si>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</si>
  <si>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</si>
  <si>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</si>
  <si>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</si>
  <si>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</si>
  <si>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</si>
  <si>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</si>
  <si>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</si>
  <si>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</si>
  <si>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</si>
  <si>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</si>
  <si>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</si>
  <si>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</si>
  <si>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</si>
  <si>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</si>
  <si>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</si>
  <si>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</si>
  <si>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</si>
  <si>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</si>
  <si>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</si>
  <si>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</si>
  <si>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</si>
  <si>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</si>
  <si>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</si>
  <si>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</si>
  <si>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</si>
  <si>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</si>
  <si>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</si>
  <si>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</si>
  <si>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</si>
  <si>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</si>
  <si>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</si>
  <si>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</si>
  <si>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</si>
  <si>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</si>
  <si>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</si>
  <si>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</si>
  <si>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</si>
  <si>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</si>
  <si>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</si>
  <si>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</si>
  <si>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</si>
  <si>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</si>
  <si>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</si>
  <si>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</si>
  <si>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</si>
  <si>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</si>
  <si>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</si>
  <si>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</si>
  <si>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</si>
  <si>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</si>
  <si>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</si>
  <si>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</si>
  <si>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</si>
  <si>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</si>
  <si>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</si>
  <si>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</si>
  <si>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</si>
  <si>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</si>
  <si>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</si>
  <si>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</si>
  <si>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</si>
  <si>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</si>
  <si>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</si>
  <si>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</si>
  <si>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</si>
  <si>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</si>
  <si>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</si>
  <si>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</si>
  <si>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</si>
  <si>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</si>
  <si>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</si>
  <si>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</si>
  <si>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</si>
  <si>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</si>
  <si>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</si>
  <si>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</si>
  <si>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</si>
  <si>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</si>
  <si>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</si>
  <si>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</si>
  <si>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</si>
  <si>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</si>
  <si>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</si>
  <si>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</si>
  <si>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</si>
  <si>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</si>
  <si>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</si>
  <si>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</si>
  <si>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</si>
  <si>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</si>
  <si>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</si>
  <si>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</si>
  <si>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</si>
  <si>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</si>
  <si>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</si>
  <si>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</si>
  <si>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</si>
  <si>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</si>
  <si>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</si>
  <si>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</si>
  <si>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</si>
  <si>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</si>
  <si>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</si>
  <si>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</si>
  <si>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</si>
  <si>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</si>
  <si>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</si>
  <si>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</si>
  <si>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</si>
  <si>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</si>
  <si>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</si>
  <si>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</si>
  <si>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</si>
  <si>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</si>
  <si>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</si>
  <si>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</si>
  <si>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</si>
  <si>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</si>
  <si>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</si>
  <si>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</si>
  <si>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</si>
  <si>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</si>
  <si>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</si>
  <si>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</si>
  <si>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</si>
  <si>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</si>
  <si>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</si>
  <si>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</si>
  <si>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</si>
  <si>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</si>
  <si>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</si>
  <si>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</si>
  <si>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</si>
  <si>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</si>
  <si>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</si>
  <si>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</si>
  <si>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</si>
  <si>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</si>
  <si>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</si>
  <si>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</si>
  <si>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</si>
  <si>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</si>
  <si>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</si>
  <si>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</si>
  <si>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</si>
  <si>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</si>
  <si>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</si>
  <si>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</si>
  <si>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</si>
  <si>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</si>
  <si>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</si>
  <si>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</si>
  <si>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</si>
  <si>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</si>
  <si>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</si>
  <si>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</si>
  <si>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</si>
  <si>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</si>
  <si>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</si>
  <si>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</si>
  <si>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</si>
  <si>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</si>
  <si>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</si>
  <si>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</si>
  <si>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</si>
  <si>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</si>
  <si>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</si>
  <si>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</si>
  <si>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</si>
  <si>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</si>
  <si>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</si>
  <si>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</si>
  <si>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</si>
  <si>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</si>
  <si>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</si>
  <si>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</si>
  <si>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</si>
  <si>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</si>
  <si>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</si>
  <si>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</si>
  <si>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</si>
  <si>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</si>
  <si>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</si>
  <si>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</si>
  <si>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</si>
  <si>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</si>
  <si>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</si>
  <si>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</si>
  <si>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</si>
  <si>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</si>
  <si>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</si>
  <si>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</si>
  <si>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</si>
  <si>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</si>
  <si>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</si>
  <si>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</si>
  <si>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</si>
  <si>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</si>
  <si>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</si>
  <si>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</si>
  <si>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</si>
  <si>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</si>
  <si>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</si>
  <si>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</si>
  <si>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</si>
  <si>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</si>
  <si>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</si>
  <si>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</si>
  <si>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</si>
  <si>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</si>
  <si>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</si>
  <si>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</si>
  <si>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</si>
  <si>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</si>
  <si>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</si>
  <si>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</si>
  <si>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</si>
  <si>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</si>
  <si>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</si>
  <si>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</si>
  <si>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</si>
  <si>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</si>
  <si>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</si>
  <si>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</si>
  <si>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</si>
  <si>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</si>
  <si>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</si>
  <si>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</si>
  <si>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</si>
  <si>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</si>
  <si>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</si>
  <si>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</si>
  <si>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</si>
  <si>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</si>
  <si>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</si>
  <si>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</si>
  <si>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</si>
  <si>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</si>
  <si>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</si>
  <si>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</si>
  <si>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</si>
  <si>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</si>
  <si>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</si>
  <si>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</si>
  <si>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</si>
  <si>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</si>
  <si>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</si>
  <si>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</si>
  <si>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</si>
  <si>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</si>
  <si>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</si>
  <si>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</si>
  <si>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</si>
  <si>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</si>
  <si>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</si>
  <si>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</si>
  <si>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</si>
  <si>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</si>
  <si>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</si>
  <si>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</si>
  <si>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</si>
  <si>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</si>
  <si>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</si>
  <si>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</si>
  <si>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</si>
  <si>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</si>
  <si>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</si>
  <si>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</si>
  <si>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</si>
  <si>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</si>
  <si>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</si>
  <si>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</si>
  <si>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</si>
  <si>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</si>
  <si>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</si>
  <si>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</si>
  <si>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</si>
  <si>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</si>
  <si>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</si>
  <si>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</si>
  <si>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</si>
  <si>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</si>
  <si>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</si>
  <si>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</si>
  <si>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</si>
  <si>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</si>
  <si>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</si>
  <si>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</si>
  <si>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</si>
  <si>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</si>
  <si>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</si>
  <si>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</si>
  <si>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</si>
  <si>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</si>
  <si>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</si>
  <si>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</si>
  <si>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</si>
  <si>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</si>
  <si>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</si>
  <si>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</si>
  <si>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</si>
  <si>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</si>
  <si>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</si>
  <si>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</si>
  <si>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</si>
  <si>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</si>
  <si>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</si>
  <si>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</si>
  <si>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</si>
  <si>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</si>
  <si>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</si>
  <si>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</si>
  <si>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</si>
  <si>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</si>
  <si>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</si>
  <si>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</si>
  <si>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</si>
  <si>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</si>
  <si>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</si>
  <si>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</si>
  <si>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</si>
  <si>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</si>
  <si>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</si>
  <si>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</si>
  <si>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</si>
  <si>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</si>
  <si>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</si>
  <si>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</si>
  <si>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</si>
  <si>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</si>
  <si>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</si>
  <si>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</si>
  <si>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</si>
  <si>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</si>
  <si>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</si>
  <si>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</si>
  <si>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</si>
  <si>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</si>
  <si>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</si>
  <si>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</si>
  <si>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</si>
  <si>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</si>
  <si>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</si>
  <si>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</si>
  <si>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</si>
  <si>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</si>
  <si>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</si>
  <si>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</si>
  <si>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</si>
  <si>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</si>
  <si>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</si>
  <si>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</si>
  <si>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</si>
  <si>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</si>
  <si>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</si>
  <si>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</si>
  <si>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</si>
  <si>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</si>
  <si>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</si>
  <si>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</si>
  <si>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</si>
  <si>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</si>
  <si>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</si>
  <si>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</si>
  <si>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</si>
  <si>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</si>
  <si>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</si>
  <si>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</si>
  <si>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</si>
  <si>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</si>
  <si>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</si>
  <si>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</si>
  <si>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</si>
  <si>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</si>
  <si>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</si>
  <si>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</si>
  <si>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Kevin Teron</t>
  </si>
  <si>
    <t xml:space="preserve">ROTJA</t>
  </si>
  <si>
    <t xml:space="preserve">Py</t>
  </si>
  <si>
    <t xml:space="preserve">06169950</t>
  </si>
  <si>
    <t xml:space="preserve">7178c - RCS LR 2014</t>
  </si>
  <si>
    <t xml:space="preserve">radier</t>
  </si>
  <si>
    <t xml:space="preserve">pl. lent</t>
  </si>
  <si>
    <t xml:space="preserve">très faible</t>
  </si>
  <si>
    <t xml:space="preserve">peu abondant</t>
  </si>
  <si>
    <t xml:space="preserve">Cf.</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</si>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</sst>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C17" activeCellId="0" sqref="C17"/>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41850</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14.7096774193548</v>
      </c>
      <c r="N5" s="364"/>
      <c r="O5" s="365" t="s">
        <v>684</v>
      </c>
      <c r="P5" s="366" t="n">
        <v>14.64</v>
      </c>
      <c r="Q5" s="367"/>
      <c r="R5" s="321"/>
      <c r="S5" s="321"/>
      <c r="T5" s="321"/>
      <c r="U5" s="321"/>
      <c r="V5" s="321"/>
      <c r="W5" s="335"/>
    </row>
    <row r="6" customFormat="false" ht="13.5" hidden="false" customHeight="false" outlineLevel="0" collapsed="false">
      <c r="A6" s="354" t="s">
        <v>3563</v>
      </c>
      <c r="B6" s="368" t="s">
        <v>3635</v>
      </c>
      <c r="C6" s="369" t="s">
        <v>3636</v>
      </c>
      <c r="D6" s="370"/>
      <c r="E6" s="370"/>
      <c r="F6" s="371"/>
      <c r="G6" s="359"/>
      <c r="H6" s="357"/>
      <c r="I6" s="321"/>
      <c r="J6" s="372"/>
      <c r="K6" s="373"/>
      <c r="L6" s="374" t="s">
        <v>3564</v>
      </c>
      <c r="M6" s="375" t="s">
        <v>3637</v>
      </c>
      <c r="N6" s="376"/>
      <c r="O6" s="377" t="n">
        <v>1</v>
      </c>
      <c r="P6" s="378" t="s">
        <v>3637</v>
      </c>
      <c r="Q6" s="379"/>
      <c r="R6" s="321"/>
      <c r="S6" s="321"/>
      <c r="T6" s="321"/>
      <c r="U6" s="321"/>
      <c r="V6" s="321"/>
      <c r="W6" s="335"/>
    </row>
    <row r="7" customFormat="false" ht="12.75" hidden="false" customHeight="false" outlineLevel="0" collapsed="false">
      <c r="A7" s="380" t="s">
        <v>3565</v>
      </c>
      <c r="B7" s="381" t="n">
        <v>93</v>
      </c>
      <c r="C7" s="382" t="n">
        <v>7</v>
      </c>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13.7692307692308</v>
      </c>
      <c r="P8" s="396" t="n">
        <f aca="false">IF(ISERROR(AVERAGE(K23:K82)),"  ",AVERAGE(K23:K82))</f>
        <v>1.84615384615385</v>
      </c>
      <c r="Q8" s="397"/>
      <c r="R8" s="321"/>
      <c r="S8" s="321"/>
      <c r="T8" s="321"/>
      <c r="U8" s="321"/>
      <c r="V8" s="321"/>
      <c r="W8" s="335"/>
    </row>
    <row r="9" customFormat="false" ht="12.75" hidden="false" customHeight="false" outlineLevel="0" collapsed="false">
      <c r="A9" s="354" t="s">
        <v>3571</v>
      </c>
      <c r="B9" s="398" t="n">
        <v>2.85</v>
      </c>
      <c r="C9" s="399" t="n">
        <v>1.75</v>
      </c>
      <c r="D9" s="400"/>
      <c r="E9" s="400"/>
      <c r="F9" s="401" t="n">
        <f aca="false">($B9*$B$7+$C9*$C$7)/100</f>
        <v>2.773</v>
      </c>
      <c r="G9" s="402"/>
      <c r="H9" s="357"/>
      <c r="I9" s="321"/>
      <c r="J9" s="403"/>
      <c r="K9" s="404"/>
      <c r="L9" s="387"/>
      <c r="M9" s="405"/>
      <c r="N9" s="395" t="s">
        <v>3572</v>
      </c>
      <c r="O9" s="396" t="n">
        <f aca="false">IF(ISERROR(STDEVP(J23:J82))," ",STDEVP(J23:J82))</f>
        <v>2.88640969835288</v>
      </c>
      <c r="P9" s="396" t="n">
        <f aca="false">IF(ISERROR(STDEVP(K23:K82)),"  ",STDEVP(K23:K82))</f>
        <v>0.661717328234048</v>
      </c>
      <c r="Q9" s="397"/>
      <c r="R9" s="321"/>
      <c r="S9" s="321"/>
      <c r="T9" s="321"/>
      <c r="U9" s="321"/>
      <c r="V9" s="321"/>
      <c r="W9" s="335"/>
    </row>
    <row r="10" customFormat="false" ht="12.75" hidden="false" customHeight="false" outlineLevel="0" collapsed="false">
      <c r="A10" s="354" t="s">
        <v>3573</v>
      </c>
      <c r="B10" s="406" t="s">
        <v>3638</v>
      </c>
      <c r="C10" s="407" t="s">
        <v>3638</v>
      </c>
      <c r="D10" s="400"/>
      <c r="E10" s="400"/>
      <c r="F10" s="401"/>
      <c r="G10" s="402"/>
      <c r="H10" s="370"/>
      <c r="I10" s="321"/>
      <c r="J10" s="408"/>
      <c r="K10" s="409" t="s">
        <v>3574</v>
      </c>
      <c r="L10" s="410"/>
      <c r="M10" s="411"/>
      <c r="N10" s="395" t="s">
        <v>3575</v>
      </c>
      <c r="O10" s="412" t="n">
        <f aca="false">MIN(J23:J82)</f>
        <v>9</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19</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6</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7</v>
      </c>
      <c r="M13" s="421"/>
      <c r="N13" s="429" t="s">
        <v>3583</v>
      </c>
      <c r="O13" s="430" t="n">
        <f aca="false">COUNTIF(F23:F82,"&gt;0")</f>
        <v>18</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1</v>
      </c>
      <c r="M14" s="421"/>
      <c r="N14" s="432" t="s">
        <v>3586</v>
      </c>
      <c r="O14" s="433" t="n">
        <f aca="false">COUNTIF($J$23:$J$82,"&gt;-1")</f>
        <v>13</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4</v>
      </c>
      <c r="M15" s="421"/>
      <c r="N15" s="429" t="s">
        <v>3589</v>
      </c>
      <c r="O15" s="430" t="n">
        <f aca="false">COUNTIF(K23:K82,"=1")</f>
        <v>4</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7</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0.722222222222222</v>
      </c>
      <c r="N17" s="429" t="s">
        <v>3594</v>
      </c>
      <c r="O17" s="430" t="n">
        <f aca="false">COUNTIF(K23:K82,"=3")</f>
        <v>2</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2.851</v>
      </c>
      <c r="C20" s="473" t="n">
        <f aca="false">SUM(C23:C62)</f>
        <v>1.725</v>
      </c>
      <c r="D20" s="474"/>
      <c r="E20" s="475" t="s">
        <v>3596</v>
      </c>
      <c r="F20" s="476" t="n">
        <f aca="false">($B20*$B$7+$C20*$C$7)/100</f>
        <v>2.77218</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2.65143</v>
      </c>
      <c r="C21" s="484" t="n">
        <f aca="false">C20*C7/100</f>
        <v>0.12075</v>
      </c>
      <c r="D21" s="485" t="s">
        <v>3599</v>
      </c>
      <c r="E21" s="486"/>
      <c r="F21" s="487" t="n">
        <f aca="false">B21+C21</f>
        <v>2.77218</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53</v>
      </c>
      <c r="B23" s="513" t="n">
        <v>0.001</v>
      </c>
      <c r="C23" s="514"/>
      <c r="D23" s="515" t="str">
        <f aca="false">IF(ISERROR(VLOOKUP($A23,'liste reference'!$A$6:$B$1245,2,0)),IF(ISERROR(VLOOKUP($A23,'liste reference'!$B$6:$B$1245,1,0)),"",VLOOKUP($A23,'liste reference'!$B$6:$B$1245,1,0)),VLOOKUP($A23,'liste reference'!$A$6:$B$1245,2,0))</f>
        <v>Audouinella sp.</v>
      </c>
      <c r="E23" s="516" t="e">
        <f aca="false">IF(D23="",0,VLOOKUP(D23,D$22:D22,1,0))</f>
        <v>#N/A</v>
      </c>
      <c r="F23" s="517" t="n">
        <f aca="false">IF(AND(OR(A23="",A23="!!!!!!"),B23="",C23=""),"",IF(OR(AND(B23="",C23=""),ISERROR(C23+B23)),"!!!",($B23*$B$7+$C23*$C$7)/100))</f>
        <v>0.00093</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13</v>
      </c>
      <c r="K23" s="520" t="n">
        <f aca="false">IF(ISNUMBER($H23),IF(ISERROR(VLOOKUP($A23,'liste reference'!$A$6:$Q$1245,7,0)),IF(ISERROR(VLOOKUP($A23,'liste reference'!$B$6:$Q$1245,6,0)),"nu",VLOOKUP($A23,'liste reference'!$B$6:$Q$1245,6,0)),VLOOKUP($A23,'liste reference'!$A$6:$Q$1245,7,0)),"nu")</f>
        <v>2</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Audouinella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6076</v>
      </c>
      <c r="R23" s="525" t="n">
        <f aca="false">IF(ISTEXT(H23),"",(B23*$B$7/100)+(C23*$C$7/100))</f>
        <v>0.00093</v>
      </c>
      <c r="S23" s="526" t="n">
        <f aca="false">IF(OR(ISTEXT(H23),R23=0),"",IF(R23&lt;0.1,1,IF(R23&lt;1,2,IF(R23&lt;10,3,IF(R23&lt;50,4,IF(R23&gt;=50,5,""))))))</f>
        <v>1</v>
      </c>
      <c r="T23" s="526" t="n">
        <f aca="false">IF(ISERROR(S23*J23),0,S23*J23)</f>
        <v>13</v>
      </c>
      <c r="U23" s="526" t="n">
        <f aca="false">IF(ISERROR(S23*J23*K23),0,S23*J23*K23)</f>
        <v>26</v>
      </c>
      <c r="V23" s="526" t="n">
        <f aca="false">IF(ISERROR(S23*K23),0,S23*K23)</f>
        <v>2</v>
      </c>
      <c r="W23" s="527"/>
      <c r="X23" s="528"/>
      <c r="Y23" s="529" t="str">
        <f aca="false">IF(AND(ISNUMBER(F23),OR(A23="",A23="!!!!!!")),"!!!!!!",IF(A23="new.cod","NEWCOD",IF(AND((Z23=""),ISTEXT(A23),A23&lt;&gt;"!!!!!!"),A23,IF(Z23="","",INDEX('liste reference'!$A$6:$A$1245,Z23)))))</f>
        <v>AUDSPX</v>
      </c>
      <c r="Z23" s="511" t="n">
        <f aca="false">IF(ISERROR(MATCH(A23,'liste reference'!$A$6:$A$1245,0)),IF(ISERROR(MATCH(A23,'liste reference'!$B$6:$B$1245,0)),"",(MATCH(A23,'liste reference'!$B$6:$B$1245,0))),(MATCH(A23,'liste reference'!$A$6:$A$1245,0)))</f>
        <v>7</v>
      </c>
    </row>
    <row r="24" customFormat="false" ht="12.75" hidden="false" customHeight="false" outlineLevel="0" collapsed="false">
      <c r="A24" s="530" t="s">
        <v>209</v>
      </c>
      <c r="B24" s="531" t="n">
        <v>0.1</v>
      </c>
      <c r="C24" s="532"/>
      <c r="D24" s="533" t="str">
        <f aca="false">IF(ISERROR(VLOOKUP($A24,'liste reference'!$A$6:$B$1245,2,0)),IF(ISERROR(VLOOKUP($A24,'liste reference'!$B$6:$B$1245,1,0)),"",VLOOKUP($A24,'liste reference'!$B$6:$B$1245,1,0)),VLOOKUP($A24,'liste reference'!$A$6:$B$1245,2,0))</f>
        <v>Hildenbrandia sp.</v>
      </c>
      <c r="E24" s="534" t="e">
        <f aca="false">IF(D24="",0,VLOOKUP(D24,D$22:D23,1,0))</f>
        <v>#N/A</v>
      </c>
      <c r="F24" s="535" t="n">
        <f aca="false">IF(AND(OR(A24="",A24="!!!!!!"),B24="",C24=""),"",IF(OR(AND(B24="",C24=""),ISERROR(C24+B24)),"!!!",($B24*$B$7+$C24*$C$7)/100))</f>
        <v>0.093</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15</v>
      </c>
      <c r="K24" s="538" t="n">
        <f aca="false">IF(ISNUMBER($H24),IF(ISERROR(VLOOKUP($A24,'liste reference'!$A$6:$Q$1245,7,0)),IF(ISERROR(VLOOKUP($A24,'liste reference'!$B$6:$Q$1245,6,0)),"nu",VLOOKUP($A24,'liste reference'!$B$6:$Q$1245,6,0)),VLOOKUP($A24,'liste reference'!$A$6:$Q$1245,7,0)),"nu")</f>
        <v>2</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Hildenbrandia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1157</v>
      </c>
      <c r="R24" s="525" t="n">
        <f aca="false">IF(ISTEXT(H24),"",(B24*$B$7/100)+(C24*$C$7/100))</f>
        <v>0.093</v>
      </c>
      <c r="S24" s="526" t="n">
        <f aca="false">IF(OR(ISTEXT(H24),R24=0),"",IF(R24&lt;0.1,1,IF(R24&lt;1,2,IF(R24&lt;10,3,IF(R24&lt;50,4,IF(R24&gt;=50,5,""))))))</f>
        <v>1</v>
      </c>
      <c r="T24" s="526" t="n">
        <f aca="false">IF(ISERROR(S24*J24),0,S24*J24)</f>
        <v>15</v>
      </c>
      <c r="U24" s="526" t="n">
        <f aca="false">IF(ISERROR(S24*J24*K24),0,S24*J24*K24)</f>
        <v>30</v>
      </c>
      <c r="V24" s="542" t="n">
        <f aca="false">IF(ISERROR(S24*K24),0,S24*K24)</f>
        <v>2</v>
      </c>
      <c r="W24" s="543"/>
      <c r="X24" s="544"/>
      <c r="Y24" s="529" t="str">
        <f aca="false">IF(AND(ISNUMBER(F24),OR(A24="",A24="!!!!!!")),"!!!!!!",IF(A24="new.cod","NEWCOD",IF(AND((Z24=""),ISTEXT(A24),A24&lt;&gt;"!!!!!!"),A24,IF(Z24="","",INDEX('liste reference'!$A$6:$A$1245,Z24)))))</f>
        <v>HILSPX</v>
      </c>
      <c r="Z24" s="511" t="n">
        <f aca="false">IF(ISERROR(MATCH(A24,'liste reference'!$A$6:$A$1245,0)),IF(ISERROR(MATCH(A24,'liste reference'!$B$6:$B$1245,0)),"",(MATCH(A24,'liste reference'!$B$6:$B$1245,0))),(MATCH(A24,'liste reference'!$A$6:$A$1245,0)))</f>
        <v>59</v>
      </c>
    </row>
    <row r="25" customFormat="false" ht="12.75" hidden="false" customHeight="false" outlineLevel="0" collapsed="false">
      <c r="A25" s="530" t="s">
        <v>237</v>
      </c>
      <c r="B25" s="531" t="n">
        <v>0.25</v>
      </c>
      <c r="C25" s="532"/>
      <c r="D25" s="533" t="str">
        <f aca="false">IF(ISERROR(VLOOKUP($A25,'liste reference'!$A$6:$B$1245,2,0)),IF(ISERROR(VLOOKUP($A25,'liste reference'!$B$6:$B$1245,1,0)),"",VLOOKUP($A25,'liste reference'!$B$6:$B$1245,1,0)),VLOOKUP($A25,'liste reference'!$A$6:$B$1245,2,0))</f>
        <v>Lemanea sp.</v>
      </c>
      <c r="E25" s="534" t="e">
        <f aca="false">IF(D25="",0,VLOOKUP(D25,D$22:D24,1,0))</f>
        <v>#N/A</v>
      </c>
      <c r="F25" s="535" t="n">
        <f aca="false">IF(AND(OR(A25="",A25="!!!!!!"),B25="",C25=""),"",IF(OR(AND(B25="",C25=""),ISERROR(C25+B25)),"!!!",($B25*$B$7+$C25*$C$7)/100))</f>
        <v>0.2325</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15</v>
      </c>
      <c r="K25" s="538" t="n">
        <f aca="false">IF(ISNUMBER($H25),IF(ISERROR(VLOOKUP($A25,'liste reference'!$A$6:$Q$1245,7,0)),IF(ISERROR(VLOOKUP($A25,'liste reference'!$B$6:$Q$1245,6,0)),"nu",VLOOKUP($A25,'liste reference'!$B$6:$Q$1245,6,0)),VLOOKUP($A25,'liste reference'!$A$6:$Q$1245,7,0)),"nu")</f>
        <v>2</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Lemanea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1159</v>
      </c>
      <c r="R25" s="525" t="n">
        <f aca="false">IF(ISTEXT(H25),"",(B25*$B$7/100)+(C25*$C$7/100))</f>
        <v>0.2325</v>
      </c>
      <c r="S25" s="526" t="n">
        <f aca="false">IF(OR(ISTEXT(H25),R25=0),"",IF(R25&lt;0.1,1,IF(R25&lt;1,2,IF(R25&lt;10,3,IF(R25&lt;50,4,IF(R25&gt;=50,5,""))))))</f>
        <v>2</v>
      </c>
      <c r="T25" s="526" t="n">
        <f aca="false">IF(ISERROR(S25*J25),0,S25*J25)</f>
        <v>30</v>
      </c>
      <c r="U25" s="526" t="n">
        <f aca="false">IF(ISERROR(S25*J25*K25),0,S25*J25*K25)</f>
        <v>60</v>
      </c>
      <c r="V25" s="542" t="n">
        <f aca="false">IF(ISERROR(S25*K25),0,S25*K25)</f>
        <v>4</v>
      </c>
      <c r="W25" s="543"/>
      <c r="X25" s="544"/>
      <c r="Y25" s="529" t="str">
        <f aca="false">IF(AND(ISNUMBER(F25),OR(A25="",A25="!!!!!!")),"!!!!!!",IF(A25="new.cod","NEWCOD",IF(AND((Z25=""),ISTEXT(A25),A25&lt;&gt;"!!!!!!"),A25,IF(Z25="","",INDEX('liste reference'!$A$6:$A$1245,Z25)))))</f>
        <v>LEASPX</v>
      </c>
      <c r="Z25" s="511" t="n">
        <f aca="false">IF(ISERROR(MATCH(A25,'liste reference'!$A$6:$A$1245,0)),IF(ISERROR(MATCH(A25,'liste reference'!$B$6:$B$1245,0)),"",(MATCH(A25,'liste reference'!$B$6:$B$1245,0))),(MATCH(A25,'liste reference'!$A$6:$A$1245,0)))</f>
        <v>68</v>
      </c>
    </row>
    <row r="26" customFormat="false" ht="12.75" hidden="false" customHeight="false" outlineLevel="0" collapsed="false">
      <c r="A26" s="530" t="s">
        <v>255</v>
      </c>
      <c r="B26" s="531" t="n">
        <v>0.05</v>
      </c>
      <c r="C26" s="532"/>
      <c r="D26" s="533" t="str">
        <f aca="false">IF(ISERROR(VLOOKUP($A26,'liste reference'!$A$6:$B$1245,2,0)),IF(ISERROR(VLOOKUP($A26,'liste reference'!$B$6:$B$1245,1,0)),"",VLOOKUP($A26,'liste reference'!$B$6:$B$1245,1,0)),VLOOKUP($A26,'liste reference'!$A$6:$B$1245,2,0))</f>
        <v>Microcoleus sp.</v>
      </c>
      <c r="E26" s="534" t="e">
        <f aca="false">IF(D26="",0,VLOOKUP(D26,D$22:D25,1,0))</f>
        <v>#N/A</v>
      </c>
      <c r="F26" s="535" t="n">
        <f aca="false">IF(AND(OR(A26="",A26="!!!!!!"),B26="",C26=""),"",IF(OR(AND(B26="",C26=""),ISERROR(C26+B26)),"!!!",($B26*$B$7+$C26*$C$7)/100))</f>
        <v>0.0465</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str">
        <f aca="false">IF(ISNUMBER($H26),IF(ISERROR(VLOOKUP($A26,'liste reference'!$A$6:$Q$1245,6,0)),IF(ISERROR(VLOOKUP($A26,'liste reference'!$B$6:$Q$1245,5,0)),"nu",VLOOKUP($A26,'liste reference'!$B$6:$Q$1245,5,0)),VLOOKUP($A26,'liste reference'!$A$6:$Q$1245,6,0)),"nu")</f>
        <v>nc</v>
      </c>
      <c r="K26" s="538" t="str">
        <f aca="false">IF(ISNUMBER($H26),IF(ISERROR(VLOOKUP($A26,'liste reference'!$A$6:$Q$1245,7,0)),IF(ISERROR(VLOOKUP($A26,'liste reference'!$B$6:$Q$1245,6,0)),"nu",VLOOKUP($A26,'liste reference'!$B$6:$Q$1245,6,0)),VLOOKUP($A26,'liste reference'!$A$6:$Q$1245,7,0)),"nu")</f>
        <v>nc</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Microcoleus sp.</v>
      </c>
      <c r="M26" s="539"/>
      <c r="N26" s="539"/>
      <c r="O26" s="539"/>
      <c r="P26" s="540" t="s">
        <v>3639</v>
      </c>
      <c r="Q26" s="541" t="n">
        <f aca="false">IF(OR($A26="NEWCOD",$A26="!!!!!!"),IF(X26="","NoCod",X26),IF($A26="","",IF(ISERROR(VLOOKUP($A26,'liste reference'!$A$6:$H$1245,8,FALSE())),IF(ISERROR(VLOOKUP($A26,'liste reference'!$B$6:$H$1245,7,FALSE())),"",VLOOKUP($A26,'liste reference'!$B$6:$H$1245,7,FALSE())),VLOOKUP($A26,'liste reference'!$A$6:$H$1245,8,FALSE()))))</f>
        <v>6405</v>
      </c>
      <c r="R26" s="525" t="n">
        <f aca="false">IF(ISTEXT(H26),"",(B26*$B$7/100)+(C26*$C$7/100))</f>
        <v>0.0465</v>
      </c>
      <c r="S26" s="526" t="n">
        <f aca="false">IF(OR(ISTEXT(H26),R26=0),"",IF(R26&lt;0.1,1,IF(R26&lt;1,2,IF(R26&lt;10,3,IF(R26&lt;50,4,IF(R26&gt;=50,5,""))))))</f>
        <v>1</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MIRSPX</v>
      </c>
      <c r="Z26" s="511" t="n">
        <f aca="false">IF(ISERROR(MATCH(A26,'liste reference'!$A$6:$A$1245,0)),IF(ISERROR(MATCH(A26,'liste reference'!$B$6:$B$1245,0)),"",(MATCH(A26,'liste reference'!$B$6:$B$1245,0))),(MATCH(A26,'liste reference'!$A$6:$A$1245,0)))</f>
        <v>74</v>
      </c>
    </row>
    <row r="27" customFormat="false" ht="12.75" hidden="false" customHeight="false" outlineLevel="0" collapsed="false">
      <c r="A27" s="530" t="s">
        <v>321</v>
      </c>
      <c r="B27" s="531" t="n">
        <v>0.01</v>
      </c>
      <c r="C27" s="532"/>
      <c r="D27" s="533" t="str">
        <f aca="false">IF(ISERROR(VLOOKUP($A27,'liste reference'!$A$6:$B$1245,2,0)),IF(ISERROR(VLOOKUP($A27,'liste reference'!$B$6:$B$1245,1,0)),"",VLOOKUP($A27,'liste reference'!$B$6:$B$1245,1,0)),VLOOKUP($A27,'liste reference'!$A$6:$B$1245,2,0))</f>
        <v>Nostoc sp.</v>
      </c>
      <c r="E27" s="534" t="e">
        <f aca="false">IF(D27="",0,VLOOKUP(D27,D$22:D26,1,0))</f>
        <v>#N/A</v>
      </c>
      <c r="F27" s="535" t="n">
        <f aca="false">IF(AND(OR(A27="",A27="!!!!!!"),B27="",C27=""),"",IF(OR(AND(B27="",C27=""),ISERROR(C27+B27)),"!!!",($B27*$B$7+$C27*$C$7)/100))</f>
        <v>0.0093</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n">
        <f aca="false">IF(ISNUMBER($H27),IF(ISERROR(VLOOKUP($A27,'liste reference'!$A$6:$Q$1245,6,0)),IF(ISERROR(VLOOKUP($A27,'liste reference'!$B$6:$Q$1245,5,0)),"nu",VLOOKUP($A27,'liste reference'!$B$6:$Q$1245,5,0)),VLOOKUP($A27,'liste reference'!$A$6:$Q$1245,6,0)),"nu")</f>
        <v>9</v>
      </c>
      <c r="K27" s="538" t="n">
        <f aca="false">IF(ISNUMBER($H27),IF(ISERROR(VLOOKUP($A27,'liste reference'!$A$6:$Q$1245,7,0)),IF(ISERROR(VLOOKUP($A27,'liste reference'!$B$6:$Q$1245,6,0)),"nu",VLOOKUP($A27,'liste reference'!$B$6:$Q$1245,6,0)),VLOOKUP($A27,'liste reference'!$A$6:$Q$1245,7,0)),"nu")</f>
        <v>1</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Nostoc sp.</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1105</v>
      </c>
      <c r="R27" s="525" t="n">
        <f aca="false">IF(ISTEXT(H27),"",(B27*$B$7/100)+(C27*$C$7/100))</f>
        <v>0.0093</v>
      </c>
      <c r="S27" s="526" t="n">
        <f aca="false">IF(OR(ISTEXT(H27),R27=0),"",IF(R27&lt;0.1,1,IF(R27&lt;1,2,IF(R27&lt;10,3,IF(R27&lt;50,4,IF(R27&gt;=50,5,""))))))</f>
        <v>1</v>
      </c>
      <c r="T27" s="526" t="n">
        <f aca="false">IF(ISERROR(S27*J27),0,S27*J27)</f>
        <v>9</v>
      </c>
      <c r="U27" s="526" t="n">
        <f aca="false">IF(ISERROR(S27*J27*K27),0,S27*J27*K27)</f>
        <v>9</v>
      </c>
      <c r="V27" s="542" t="n">
        <f aca="false">IF(ISERROR(S27*K27),0,S27*K27)</f>
        <v>1</v>
      </c>
      <c r="W27" s="543"/>
      <c r="X27" s="544"/>
      <c r="Y27" s="529" t="str">
        <f aca="false">IF(AND(ISNUMBER(F27),OR(A27="",A27="!!!!!!")),"!!!!!!",IF(A27="new.cod","NEWCOD",IF(AND((Z27=""),ISTEXT(A27),A27&lt;&gt;"!!!!!!"),A27,IF(Z27="","",INDEX('liste reference'!$A$6:$A$1245,Z27)))))</f>
        <v>NOSSPX</v>
      </c>
      <c r="Z27" s="511" t="n">
        <f aca="false">IF(ISERROR(MATCH(A27,'liste reference'!$A$6:$A$1245,0)),IF(ISERROR(MATCH(A27,'liste reference'!$B$6:$B$1245,0)),"",(MATCH(A27,'liste reference'!$B$6:$B$1245,0))),(MATCH(A27,'liste reference'!$A$6:$A$1245,0)))</f>
        <v>98</v>
      </c>
    </row>
    <row r="28" customFormat="false" ht="12.75" hidden="false" customHeight="false" outlineLevel="0" collapsed="false">
      <c r="A28" s="530" t="s">
        <v>339</v>
      </c>
      <c r="B28" s="531" t="n">
        <v>0.1</v>
      </c>
      <c r="C28" s="532"/>
      <c r="D28" s="533" t="str">
        <f aca="false">IF(ISERROR(VLOOKUP($A28,'liste reference'!$A$6:$B$1245,2,0)),IF(ISERROR(VLOOKUP($A28,'liste reference'!$B$6:$B$1245,1,0)),"",VLOOKUP($A28,'liste reference'!$B$6:$B$1245,1,0)),VLOOKUP($A28,'liste reference'!$A$6:$B$1245,2,0))</f>
        <v>Phormidium sp.</v>
      </c>
      <c r="E28" s="534" t="e">
        <f aca="false">IF(D28="",0,VLOOKUP(D28,D$22:D27,1,0))</f>
        <v>#N/A</v>
      </c>
      <c r="F28" s="535" t="n">
        <f aca="false">IF(AND(OR(A28="",A28="!!!!!!"),B28="",C28=""),"",IF(OR(AND(B28="",C28=""),ISERROR(C28+B28)),"!!!",($B28*$B$7+$C28*$C$7)/100))</f>
        <v>0.093</v>
      </c>
      <c r="G28" s="536" t="str">
        <f aca="false">IF(A28="","",IF(ISERROR(VLOOKUP($A28,'liste reference'!$A$6:$Q$1245,9,0)),IF(ISERROR(VLOOKUP($A28,'liste reference'!$B$6:$Q$1245,8,0)),"    -",VLOOKUP($A28,'liste reference'!$B$6:$Q$1245,8,0)),VLOOKUP($A28,'liste reference'!$A$6:$Q$1245,9,0)))</f>
        <v>ALG</v>
      </c>
      <c r="H28" s="537" t="n">
        <f aca="false">IF(A28="","x",IF(ISERROR(VLOOKUP($A28,'liste reference'!$A$6:$Q$1245,10,0)),IF(ISERROR(VLOOKUP($A28,'liste reference'!$B$6:$Q$1245,9,0)),"x",VLOOKUP($A28,'liste reference'!$B$6:$Q$1245,9,0)),VLOOKUP($A28,'liste reference'!$A$6:$Q$1245,10,0)))</f>
        <v>2</v>
      </c>
      <c r="I28" s="321" t="n">
        <f aca="false">IF(A28="","",1)</f>
        <v>1</v>
      </c>
      <c r="J28" s="538" t="n">
        <f aca="false">IF(ISNUMBER($H28),IF(ISERROR(VLOOKUP($A28,'liste reference'!$A$6:$Q$1245,6,0)),IF(ISERROR(VLOOKUP($A28,'liste reference'!$B$6:$Q$1245,5,0)),"nu",VLOOKUP($A28,'liste reference'!$B$6:$Q$1245,5,0)),VLOOKUP($A28,'liste reference'!$A$6:$Q$1245,6,0)),"nu")</f>
        <v>13</v>
      </c>
      <c r="K28" s="538" t="n">
        <f aca="false">IF(ISNUMBER($H28),IF(ISERROR(VLOOKUP($A28,'liste reference'!$A$6:$Q$1245,7,0)),IF(ISERROR(VLOOKUP($A28,'liste reference'!$B$6:$Q$1245,6,0)),"nu",VLOOKUP($A28,'liste reference'!$B$6:$Q$1245,6,0)),VLOOKUP($A28,'liste reference'!$A$6:$Q$1245,7,0)),"nu")</f>
        <v>2</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Phormidium sp.</v>
      </c>
      <c r="M28" s="539"/>
      <c r="N28" s="539"/>
      <c r="O28" s="539"/>
      <c r="P28" s="540" t="s">
        <v>3639</v>
      </c>
      <c r="Q28" s="541" t="n">
        <f aca="false">IF(OR($A28="NEWCOD",$A28="!!!!!!"),IF(X28="","NoCod",X28),IF($A28="","",IF(ISERROR(VLOOKUP($A28,'liste reference'!$A$6:$H$1245,8,FALSE())),IF(ISERROR(VLOOKUP($A28,'liste reference'!$B$6:$H$1245,7,FALSE())),"",VLOOKUP($A28,'liste reference'!$B$6:$H$1245,7,FALSE())),VLOOKUP($A28,'liste reference'!$A$6:$H$1245,8,FALSE()))))</f>
        <v>6414</v>
      </c>
      <c r="R28" s="525" t="n">
        <f aca="false">IF(ISTEXT(H28),"",(B28*$B$7/100)+(C28*$C$7/100))</f>
        <v>0.093</v>
      </c>
      <c r="S28" s="526" t="n">
        <f aca="false">IF(OR(ISTEXT(H28),R28=0),"",IF(R28&lt;0.1,1,IF(R28&lt;1,2,IF(R28&lt;10,3,IF(R28&lt;50,4,IF(R28&gt;=50,5,""))))))</f>
        <v>1</v>
      </c>
      <c r="T28" s="526" t="n">
        <f aca="false">IF(ISERROR(S28*J28),0,S28*J28)</f>
        <v>13</v>
      </c>
      <c r="U28" s="526" t="n">
        <f aca="false">IF(ISERROR(S28*J28*K28),0,S28*J28*K28)</f>
        <v>26</v>
      </c>
      <c r="V28" s="542" t="n">
        <f aca="false">IF(ISERROR(S28*K28),0,S28*K28)</f>
        <v>2</v>
      </c>
      <c r="W28" s="543"/>
      <c r="X28" s="544"/>
      <c r="Y28" s="529" t="str">
        <f aca="false">IF(AND(ISNUMBER(F28),OR(A28="",A28="!!!!!!")),"!!!!!!",IF(A28="new.cod","NEWCOD",IF(AND((Z28=""),ISTEXT(A28),A28&lt;&gt;"!!!!!!"),A28,IF(Z28="","",INDEX('liste reference'!$A$6:$A$1245,Z28)))))</f>
        <v>PHOSPX</v>
      </c>
      <c r="Z28" s="511" t="n">
        <f aca="false">IF(ISERROR(MATCH(A28,'liste reference'!$A$6:$A$1245,0)),IF(ISERROR(MATCH(A28,'liste reference'!$B$6:$B$1245,0)),"",(MATCH(A28,'liste reference'!$B$6:$B$1245,0))),(MATCH(A28,'liste reference'!$A$6:$A$1245,0)))</f>
        <v>103</v>
      </c>
    </row>
    <row r="29" customFormat="false" ht="12.75" hidden="false" customHeight="false" outlineLevel="0" collapsed="false">
      <c r="A29" s="530" t="s">
        <v>487</v>
      </c>
      <c r="B29" s="531" t="n">
        <v>0.02</v>
      </c>
      <c r="C29" s="532" t="n">
        <v>0.005</v>
      </c>
      <c r="D29" s="533" t="str">
        <f aca="false">IF(ISERROR(VLOOKUP($A29,'liste reference'!$A$6:$B$1245,2,0)),IF(ISERROR(VLOOKUP($A29,'liste reference'!$B$6:$B$1245,1,0)),"",VLOOKUP($A29,'liste reference'!$B$6:$B$1245,1,0)),VLOOKUP($A29,'liste reference'!$A$6:$B$1245,2,0))</f>
        <v>Chiloscyphus polyanthos</v>
      </c>
      <c r="E29" s="534" t="e">
        <f aca="false">IF(D29="",0,VLOOKUP(D29,D$22:D28,1,0))</f>
        <v>#N/A</v>
      </c>
      <c r="F29" s="535" t="n">
        <f aca="false">IF(AND(OR(A29="",A29="!!!!!!"),B29="",C29=""),"",IF(OR(AND(B29="",C29=""),ISERROR(C29+B29)),"!!!",($B29*$B$7+$C29*$C$7)/100))</f>
        <v>0.01895</v>
      </c>
      <c r="G29" s="536" t="str">
        <f aca="false">IF(A29="","",IF(ISERROR(VLOOKUP($A29,'liste reference'!$A$6:$Q$1245,9,0)),IF(ISERROR(VLOOKUP($A29,'liste reference'!$B$6:$Q$1245,8,0)),"    -",VLOOKUP($A29,'liste reference'!$B$6:$Q$1245,8,0)),VLOOKUP($A29,'liste reference'!$A$6:$Q$1245,9,0)))</f>
        <v>BRh</v>
      </c>
      <c r="H29" s="537" t="n">
        <f aca="false">IF(A29="","x",IF(ISERROR(VLOOKUP($A29,'liste reference'!$A$6:$Q$1245,10,0)),IF(ISERROR(VLOOKUP($A29,'liste reference'!$B$6:$Q$1245,9,0)),"x",VLOOKUP($A29,'liste reference'!$B$6:$Q$1245,9,0)),VLOOKUP($A29,'liste reference'!$A$6:$Q$1245,10,0)))</f>
        <v>4</v>
      </c>
      <c r="I29" s="321" t="n">
        <f aca="false">IF(A29="","",1)</f>
        <v>1</v>
      </c>
      <c r="J29" s="538" t="n">
        <f aca="false">IF(ISNUMBER($H29),IF(ISERROR(VLOOKUP($A29,'liste reference'!$A$6:$Q$1245,6,0)),IF(ISERROR(VLOOKUP($A29,'liste reference'!$B$6:$Q$1245,5,0)),"nu",VLOOKUP($A29,'liste reference'!$B$6:$Q$1245,5,0)),VLOOKUP($A29,'liste reference'!$A$6:$Q$1245,6,0)),"nu")</f>
        <v>15</v>
      </c>
      <c r="K29" s="538" t="n">
        <f aca="false">IF(ISNUMBER($H29),IF(ISERROR(VLOOKUP($A29,'liste reference'!$A$6:$Q$1245,7,0)),IF(ISERROR(VLOOKUP($A29,'liste reference'!$B$6:$Q$1245,6,0)),"nu",VLOOKUP($A29,'liste reference'!$B$6:$Q$1245,6,0)),VLOOKUP($A29,'liste reference'!$A$6:$Q$1245,7,0)),"nu")</f>
        <v>2</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Chiloscyphus polyanthos</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1186</v>
      </c>
      <c r="R29" s="525" t="n">
        <f aca="false">IF(ISTEXT(H29),"",(B29*$B$7/100)+(C29*$C$7/100))</f>
        <v>0.01895</v>
      </c>
      <c r="S29" s="526" t="n">
        <f aca="false">IF(OR(ISTEXT(H29),R29=0),"",IF(R29&lt;0.1,1,IF(R29&lt;1,2,IF(R29&lt;10,3,IF(R29&lt;50,4,IF(R29&gt;=50,5,""))))))</f>
        <v>1</v>
      </c>
      <c r="T29" s="526" t="n">
        <f aca="false">IF(ISERROR(S29*J29),0,S29*J29)</f>
        <v>15</v>
      </c>
      <c r="U29" s="526" t="n">
        <f aca="false">IF(ISERROR(S29*J29*K29),0,S29*J29*K29)</f>
        <v>30</v>
      </c>
      <c r="V29" s="542" t="n">
        <f aca="false">IF(ISERROR(S29*K29),0,S29*K29)</f>
        <v>2</v>
      </c>
      <c r="W29" s="543"/>
      <c r="X29" s="544"/>
      <c r="Y29" s="529" t="str">
        <f aca="false">IF(AND(ISNUMBER(F29),OR(A29="",A29="!!!!!!")),"!!!!!!",IF(A29="new.cod","NEWCOD",IF(AND((Z29=""),ISTEXT(A29),A29&lt;&gt;"!!!!!!"),A29,IF(Z29="","",INDEX('liste reference'!$A$6:$A$1245,Z29)))))</f>
        <v>CHIPOL</v>
      </c>
      <c r="Z29" s="511" t="n">
        <f aca="false">IF(ISERROR(MATCH(A29,'liste reference'!$A$6:$A$1245,0)),IF(ISERROR(MATCH(A29,'liste reference'!$B$6:$B$1245,0)),"",(MATCH(A29,'liste reference'!$B$6:$B$1245,0))),(MATCH(A29,'liste reference'!$A$6:$A$1245,0)))</f>
        <v>156</v>
      </c>
    </row>
    <row r="30" customFormat="false" ht="12.75" hidden="false" customHeight="false" outlineLevel="0" collapsed="false">
      <c r="A30" s="530" t="s">
        <v>684</v>
      </c>
      <c r="B30" s="531" t="n">
        <v>2</v>
      </c>
      <c r="C30" s="532" t="n">
        <v>1.5</v>
      </c>
      <c r="D30" s="533" t="str">
        <f aca="false">IF(ISERROR(VLOOKUP($A30,'liste reference'!$A$6:$B$1245,2,0)),IF(ISERROR(VLOOKUP($A30,'liste reference'!$B$6:$B$1245,1,0)),"",VLOOKUP($A30,'liste reference'!$B$6:$B$1245,1,0)),VLOOKUP($A30,'liste reference'!$A$6:$B$1245,2,0))</f>
        <v>Brachythecium rivulare</v>
      </c>
      <c r="E30" s="534" t="e">
        <f aca="false">IF(D30="",0,VLOOKUP(D30,D$22:D29,1,0))</f>
        <v>#N/A</v>
      </c>
      <c r="F30" s="535" t="n">
        <f aca="false">IF(AND(OR(A30="",A30="!!!!!!"),B30="",C30=""),"",IF(OR(AND(B30="",C30=""),ISERROR(C30+B30)),"!!!",($B30*$B$7+$C30*$C$7)/100))</f>
        <v>1.965</v>
      </c>
      <c r="G30" s="536" t="str">
        <f aca="false">IF(A30="","",IF(ISERROR(VLOOKUP($A30,'liste reference'!$A$6:$Q$1245,9,0)),IF(ISERROR(VLOOKUP($A30,'liste reference'!$B$6:$Q$1245,8,0)),"    -",VLOOKUP($A30,'liste reference'!$B$6:$Q$1245,8,0)),VLOOKUP($A30,'liste reference'!$A$6:$Q$1245,9,0)))</f>
        <v>BRm</v>
      </c>
      <c r="H30" s="537" t="n">
        <f aca="false">IF(A30="","x",IF(ISERROR(VLOOKUP($A30,'liste reference'!$A$6:$Q$1245,10,0)),IF(ISERROR(VLOOKUP($A30,'liste reference'!$B$6:$Q$1245,9,0)),"x",VLOOKUP($A30,'liste reference'!$B$6:$Q$1245,9,0)),VLOOKUP($A30,'liste reference'!$A$6:$Q$1245,10,0)))</f>
        <v>5</v>
      </c>
      <c r="I30" s="321" t="n">
        <f aca="false">IF(A30="","",1)</f>
        <v>1</v>
      </c>
      <c r="J30" s="538" t="n">
        <f aca="false">IF(ISNUMBER($H30),IF(ISERROR(VLOOKUP($A30,'liste reference'!$A$6:$Q$1245,6,0)),IF(ISERROR(VLOOKUP($A30,'liste reference'!$B$6:$Q$1245,5,0)),"nu",VLOOKUP($A30,'liste reference'!$B$6:$Q$1245,5,0)),VLOOKUP($A30,'liste reference'!$A$6:$Q$1245,6,0)),"nu")</f>
        <v>15</v>
      </c>
      <c r="K30" s="538" t="n">
        <f aca="false">IF(ISNUMBER($H30),IF(ISERROR(VLOOKUP($A30,'liste reference'!$A$6:$Q$1245,7,0)),IF(ISERROR(VLOOKUP($A30,'liste reference'!$B$6:$Q$1245,6,0)),"nu",VLOOKUP($A30,'liste reference'!$B$6:$Q$1245,6,0)),VLOOKUP($A30,'liste reference'!$A$6:$Q$1245,7,0)),"nu")</f>
        <v>2</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Brachythecium rivulare</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1260</v>
      </c>
      <c r="R30" s="525" t="n">
        <f aca="false">IF(ISTEXT(H30),"",(B30*$B$7/100)+(C30*$C$7/100))</f>
        <v>1.965</v>
      </c>
      <c r="S30" s="526" t="n">
        <f aca="false">IF(OR(ISTEXT(H30),R30=0),"",IF(R30&lt;0.1,1,IF(R30&lt;1,2,IF(R30&lt;10,3,IF(R30&lt;50,4,IF(R30&gt;=50,5,""))))))</f>
        <v>3</v>
      </c>
      <c r="T30" s="526" t="n">
        <f aca="false">IF(ISERROR(S30*J30),0,S30*J30)</f>
        <v>45</v>
      </c>
      <c r="U30" s="526" t="n">
        <f aca="false">IF(ISERROR(S30*J30*K30),0,S30*J30*K30)</f>
        <v>90</v>
      </c>
      <c r="V30" s="542" t="n">
        <f aca="false">IF(ISERROR(S30*K30),0,S30*K30)</f>
        <v>6</v>
      </c>
      <c r="W30" s="543"/>
      <c r="X30" s="544"/>
      <c r="Y30" s="529" t="str">
        <f aca="false">IF(AND(ISNUMBER(F30),OR(A30="",A30="!!!!!!")),"!!!!!!",IF(A30="new.cod","NEWCOD",IF(AND((Z30=""),ISTEXT(A30),A30&lt;&gt;"!!!!!!"),A30,IF(Z30="","",INDEX('liste reference'!$A$6:$A$1245,Z30)))))</f>
        <v>BRARIV</v>
      </c>
      <c r="Z30" s="511" t="n">
        <f aca="false">IF(ISERROR(MATCH(A30,'liste reference'!$A$6:$A$1245,0)),IF(ISERROR(MATCH(A30,'liste reference'!$B$6:$B$1245,0)),"",(MATCH(A30,'liste reference'!$B$6:$B$1245,0))),(MATCH(A30,'liste reference'!$A$6:$A$1245,0)))</f>
        <v>222</v>
      </c>
    </row>
    <row r="31" customFormat="false" ht="12.75" hidden="false" customHeight="false" outlineLevel="0" collapsed="false">
      <c r="A31" s="530" t="s">
        <v>762</v>
      </c>
      <c r="B31" s="531" t="n">
        <v>0.05</v>
      </c>
      <c r="C31" s="532" t="n">
        <v>0.005</v>
      </c>
      <c r="D31" s="533" t="str">
        <f aca="false">IF(ISERROR(VLOOKUP($A31,'liste reference'!$A$6:$B$1245,2,0)),IF(ISERROR(VLOOKUP($A31,'liste reference'!$B$6:$B$1245,1,0)),"",VLOOKUP($A31,'liste reference'!$B$6:$B$1245,1,0)),VLOOKUP($A31,'liste reference'!$A$6:$B$1245,2,0))</f>
        <v>Cratoneuron filicinum</v>
      </c>
      <c r="E31" s="534" t="e">
        <f aca="false">IF(D31="",0,VLOOKUP(D31,D$22:D30,1,0))</f>
        <v>#N/A</v>
      </c>
      <c r="F31" s="535" t="n">
        <f aca="false">IF(AND(OR(A31="",A31="!!!!!!"),B31="",C31=""),"",IF(OR(AND(B31="",C31=""),ISERROR(C31+B31)),"!!!",($B31*$B$7+$C31*$C$7)/100))</f>
        <v>0.04685</v>
      </c>
      <c r="G31" s="536" t="str">
        <f aca="false">IF(A31="","",IF(ISERROR(VLOOKUP($A31,'liste reference'!$A$6:$Q$1245,9,0)),IF(ISERROR(VLOOKUP($A31,'liste reference'!$B$6:$Q$1245,8,0)),"    -",VLOOKUP($A31,'liste reference'!$B$6:$Q$1245,8,0)),VLOOKUP($A31,'liste reference'!$A$6:$Q$1245,9,0)))</f>
        <v>BRm</v>
      </c>
      <c r="H31" s="537" t="n">
        <f aca="false">IF(A31="","x",IF(ISERROR(VLOOKUP($A31,'liste reference'!$A$6:$Q$1245,10,0)),IF(ISERROR(VLOOKUP($A31,'liste reference'!$B$6:$Q$1245,9,0)),"x",VLOOKUP($A31,'liste reference'!$B$6:$Q$1245,9,0)),VLOOKUP($A31,'liste reference'!$A$6:$Q$1245,10,0)))</f>
        <v>5</v>
      </c>
      <c r="I31" s="321" t="n">
        <f aca="false">IF(A31="","",1)</f>
        <v>1</v>
      </c>
      <c r="J31" s="538" t="n">
        <f aca="false">IF(ISNUMBER($H31),IF(ISERROR(VLOOKUP($A31,'liste reference'!$A$6:$Q$1245,6,0)),IF(ISERROR(VLOOKUP($A31,'liste reference'!$B$6:$Q$1245,5,0)),"nu",VLOOKUP($A31,'liste reference'!$B$6:$Q$1245,5,0)),VLOOKUP($A31,'liste reference'!$A$6:$Q$1245,6,0)),"nu")</f>
        <v>18</v>
      </c>
      <c r="K31" s="538" t="n">
        <f aca="false">IF(ISNUMBER($H31),IF(ISERROR(VLOOKUP($A31,'liste reference'!$A$6:$Q$1245,7,0)),IF(ISERROR(VLOOKUP($A31,'liste reference'!$B$6:$Q$1245,6,0)),"nu",VLOOKUP($A31,'liste reference'!$B$6:$Q$1245,6,0)),VLOOKUP($A31,'liste reference'!$A$6:$Q$1245,7,0)),"nu")</f>
        <v>3</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Cratoneuron filicinum</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1233</v>
      </c>
      <c r="R31" s="525" t="n">
        <f aca="false">IF(ISTEXT(H31),"",(B31*$B$7/100)+(C31*$C$7/100))</f>
        <v>0.04685</v>
      </c>
      <c r="S31" s="526" t="n">
        <f aca="false">IF(OR(ISTEXT(H31),R31=0),"",IF(R31&lt;0.1,1,IF(R31&lt;1,2,IF(R31&lt;10,3,IF(R31&lt;50,4,IF(R31&gt;=50,5,""))))))</f>
        <v>1</v>
      </c>
      <c r="T31" s="526" t="n">
        <f aca="false">IF(ISERROR(S31*J31),0,S31*J31)</f>
        <v>18</v>
      </c>
      <c r="U31" s="526" t="n">
        <f aca="false">IF(ISERROR(S31*J31*K31),0,S31*J31*K31)</f>
        <v>54</v>
      </c>
      <c r="V31" s="542" t="n">
        <f aca="false">IF(ISERROR(S31*K31),0,S31*K31)</f>
        <v>3</v>
      </c>
      <c r="W31" s="543"/>
      <c r="X31" s="544"/>
      <c r="Y31" s="529" t="str">
        <f aca="false">IF(AND(ISNUMBER(F31),OR(A31="",A31="!!!!!!")),"!!!!!!",IF(A31="new.cod","NEWCOD",IF(AND((Z31=""),ISTEXT(A31),A31&lt;&gt;"!!!!!!"),A31,IF(Z31="","",INDEX('liste reference'!$A$6:$A$1245,Z31)))))</f>
        <v>CRAFIL</v>
      </c>
      <c r="Z31" s="511" t="n">
        <f aca="false">IF(ISERROR(MATCH(A31,'liste reference'!$A$6:$A$1245,0)),IF(ISERROR(MATCH(A31,'liste reference'!$B$6:$B$1245,0)),"",(MATCH(A31,'liste reference'!$B$6:$B$1245,0))),(MATCH(A31,'liste reference'!$A$6:$A$1245,0)))</f>
        <v>246</v>
      </c>
    </row>
    <row r="32" customFormat="false" ht="12.75" hidden="false" customHeight="false" outlineLevel="0" collapsed="false">
      <c r="A32" s="530" t="s">
        <v>928</v>
      </c>
      <c r="B32" s="531" t="n">
        <v>0.04</v>
      </c>
      <c r="C32" s="532" t="n">
        <v>0.2</v>
      </c>
      <c r="D32" s="533" t="str">
        <f aca="false">IF(ISERROR(VLOOKUP($A32,'liste reference'!$A$6:$B$1245,2,0)),IF(ISERROR(VLOOKUP($A32,'liste reference'!$B$6:$B$1245,1,0)),"",VLOOKUP($A32,'liste reference'!$B$6:$B$1245,1,0)),VLOOKUP($A32,'liste reference'!$A$6:$B$1245,2,0))</f>
        <v>Fontinalis antipyretica</v>
      </c>
      <c r="E32" s="534" t="e">
        <f aca="false">IF(D32="",0,VLOOKUP(D32,D$22:D31,1,0))</f>
        <v>#N/A</v>
      </c>
      <c r="F32" s="535" t="n">
        <f aca="false">IF(AND(OR(A32="",A32="!!!!!!"),B32="",C32=""),"",IF(OR(AND(B32="",C32=""),ISERROR(C32+B32)),"!!!",($B32*$B$7+$C32*$C$7)/100))</f>
        <v>0.0512</v>
      </c>
      <c r="G32" s="536" t="str">
        <f aca="false">IF(A32="","",IF(ISERROR(VLOOKUP($A32,'liste reference'!$A$6:$Q$1245,9,0)),IF(ISERROR(VLOOKUP($A32,'liste reference'!$B$6:$Q$1245,8,0)),"    -",VLOOKUP($A32,'liste reference'!$B$6:$Q$1245,8,0)),VLOOKUP($A32,'liste reference'!$A$6:$Q$1245,9,0)))</f>
        <v>BRm</v>
      </c>
      <c r="H32" s="537" t="n">
        <f aca="false">IF(A32="","x",IF(ISERROR(VLOOKUP($A32,'liste reference'!$A$6:$Q$1245,10,0)),IF(ISERROR(VLOOKUP($A32,'liste reference'!$B$6:$Q$1245,9,0)),"x",VLOOKUP($A32,'liste reference'!$B$6:$Q$1245,9,0)),VLOOKUP($A32,'liste reference'!$A$6:$Q$1245,10,0)))</f>
        <v>5</v>
      </c>
      <c r="I32" s="321" t="n">
        <f aca="false">IF(A32="","",1)</f>
        <v>1</v>
      </c>
      <c r="J32" s="538" t="n">
        <f aca="false">IF(ISNUMBER($H32),IF(ISERROR(VLOOKUP($A32,'liste reference'!$A$6:$Q$1245,6,0)),IF(ISERROR(VLOOKUP($A32,'liste reference'!$B$6:$Q$1245,5,0)),"nu",VLOOKUP($A32,'liste reference'!$B$6:$Q$1245,5,0)),VLOOKUP($A32,'liste reference'!$A$6:$Q$1245,6,0)),"nu")</f>
        <v>10</v>
      </c>
      <c r="K32" s="538" t="n">
        <f aca="false">IF(ISNUMBER($H32),IF(ISERROR(VLOOKUP($A32,'liste reference'!$A$6:$Q$1245,7,0)),IF(ISERROR(VLOOKUP($A32,'liste reference'!$B$6:$Q$1245,6,0)),"nu",VLOOKUP($A32,'liste reference'!$B$6:$Q$1245,6,0)),VLOOKUP($A32,'liste reference'!$A$6:$Q$1245,7,0)),"nu")</f>
        <v>1</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Fontinalis antipyretica</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1310</v>
      </c>
      <c r="R32" s="525" t="n">
        <f aca="false">IF(ISTEXT(H32),"",(B32*$B$7/100)+(C32*$C$7/100))</f>
        <v>0.0512</v>
      </c>
      <c r="S32" s="526" t="n">
        <f aca="false">IF(OR(ISTEXT(H32),R32=0),"",IF(R32&lt;0.1,1,IF(R32&lt;1,2,IF(R32&lt;10,3,IF(R32&lt;50,4,IF(R32&gt;=50,5,""))))))</f>
        <v>1</v>
      </c>
      <c r="T32" s="526" t="n">
        <f aca="false">IF(ISERROR(S32*J32),0,S32*J32)</f>
        <v>10</v>
      </c>
      <c r="U32" s="526" t="n">
        <f aca="false">IF(ISERROR(S32*J32*K32),0,S32*J32*K32)</f>
        <v>10</v>
      </c>
      <c r="V32" s="542" t="n">
        <f aca="false">IF(ISERROR(S32*K32),0,S32*K32)</f>
        <v>1</v>
      </c>
      <c r="W32" s="543"/>
      <c r="X32" s="544"/>
      <c r="Y32" s="529" t="str">
        <f aca="false">IF(AND(ISNUMBER(F32),OR(A32="",A32="!!!!!!")),"!!!!!!",IF(A32="new.cod","NEWCOD",IF(AND((Z32=""),ISTEXT(A32),A32&lt;&gt;"!!!!!!"),A32,IF(Z32="","",INDEX('liste reference'!$A$6:$A$1245,Z32)))))</f>
        <v>FONANT</v>
      </c>
      <c r="Z32" s="511" t="n">
        <f aca="false">IF(ISERROR(MATCH(A32,'liste reference'!$A$6:$A$1245,0)),IF(ISERROR(MATCH(A32,'liste reference'!$B$6:$B$1245,0)),"",(MATCH(A32,'liste reference'!$B$6:$B$1245,0))),(MATCH(A32,'liste reference'!$A$6:$A$1245,0)))</f>
        <v>292</v>
      </c>
    </row>
    <row r="33" customFormat="false" ht="12.75" hidden="false" customHeight="false" outlineLevel="0" collapsed="false">
      <c r="A33" s="530" t="s">
        <v>973</v>
      </c>
      <c r="B33" s="531" t="n">
        <v>0.005</v>
      </c>
      <c r="C33" s="532"/>
      <c r="D33" s="533" t="str">
        <f aca="false">IF(ISERROR(VLOOKUP($A33,'liste reference'!$A$6:$B$1245,2,0)),IF(ISERROR(VLOOKUP($A33,'liste reference'!$B$6:$B$1245,1,0)),"",VLOOKUP($A33,'liste reference'!$B$6:$B$1245,1,0)),VLOOKUP($A33,'liste reference'!$A$6:$B$1245,2,0))</f>
        <v>Hygrohypnum duriusculum</v>
      </c>
      <c r="E33" s="534" t="e">
        <f aca="false">IF(D33="",0,VLOOKUP(D33,D$22:D32,1,0))</f>
        <v>#N/A</v>
      </c>
      <c r="F33" s="535" t="n">
        <f aca="false">IF(AND(OR(A33="",A33="!!!!!!"),B33="",C33=""),"",IF(OR(AND(B33="",C33=""),ISERROR(C33+B33)),"!!!",($B33*$B$7+$C33*$C$7)/100))</f>
        <v>0.00465</v>
      </c>
      <c r="G33" s="536" t="str">
        <f aca="false">IF(A33="","",IF(ISERROR(VLOOKUP($A33,'liste reference'!$A$6:$Q$1245,9,0)),IF(ISERROR(VLOOKUP($A33,'liste reference'!$B$6:$Q$1245,8,0)),"    -",VLOOKUP($A33,'liste reference'!$B$6:$Q$1245,8,0)),VLOOKUP($A33,'liste reference'!$A$6:$Q$1245,9,0)))</f>
        <v>BRm</v>
      </c>
      <c r="H33" s="537" t="n">
        <f aca="false">IF(A33="","x",IF(ISERROR(VLOOKUP($A33,'liste reference'!$A$6:$Q$1245,10,0)),IF(ISERROR(VLOOKUP($A33,'liste reference'!$B$6:$Q$1245,9,0)),"x",VLOOKUP($A33,'liste reference'!$B$6:$Q$1245,9,0)),VLOOKUP($A33,'liste reference'!$A$6:$Q$1245,10,0)))</f>
        <v>5</v>
      </c>
      <c r="I33" s="321" t="n">
        <f aca="false">IF(A33="","",1)</f>
        <v>1</v>
      </c>
      <c r="J33" s="538" t="n">
        <f aca="false">IF(ISNUMBER($H33),IF(ISERROR(VLOOKUP($A33,'liste reference'!$A$6:$Q$1245,6,0)),IF(ISERROR(VLOOKUP($A33,'liste reference'!$B$6:$Q$1245,5,0)),"nu",VLOOKUP($A33,'liste reference'!$B$6:$Q$1245,5,0)),VLOOKUP($A33,'liste reference'!$A$6:$Q$1245,6,0)),"nu")</f>
        <v>19</v>
      </c>
      <c r="K33" s="538" t="n">
        <f aca="false">IF(ISNUMBER($H33),IF(ISERROR(VLOOKUP($A33,'liste reference'!$A$6:$Q$1245,7,0)),IF(ISERROR(VLOOKUP($A33,'liste reference'!$B$6:$Q$1245,6,0)),"nu",VLOOKUP($A33,'liste reference'!$B$6:$Q$1245,6,0)),VLOOKUP($A33,'liste reference'!$A$6:$Q$1245,7,0)),"nu")</f>
        <v>3</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Hygrohypnum duriusculum</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9821</v>
      </c>
      <c r="R33" s="525" t="n">
        <f aca="false">IF(ISTEXT(H33),"",(B33*$B$7/100)+(C33*$C$7/100))</f>
        <v>0.00465</v>
      </c>
      <c r="S33" s="526" t="n">
        <f aca="false">IF(OR(ISTEXT(H33),R33=0),"",IF(R33&lt;0.1,1,IF(R33&lt;1,2,IF(R33&lt;10,3,IF(R33&lt;50,4,IF(R33&gt;=50,5,""))))))</f>
        <v>1</v>
      </c>
      <c r="T33" s="526" t="n">
        <f aca="false">IF(ISERROR(S33*J33),0,S33*J33)</f>
        <v>19</v>
      </c>
      <c r="U33" s="526" t="n">
        <f aca="false">IF(ISERROR(S33*J33*K33),0,S33*J33*K33)</f>
        <v>57</v>
      </c>
      <c r="V33" s="542" t="n">
        <f aca="false">IF(ISERROR(S33*K33),0,S33*K33)</f>
        <v>3</v>
      </c>
      <c r="W33" s="543"/>
      <c r="X33" s="544"/>
      <c r="Y33" s="529" t="str">
        <f aca="false">IF(AND(ISNUMBER(F33),OR(A33="",A33="!!!!!!")),"!!!!!!",IF(A33="new.cod","NEWCOD",IF(AND((Z33=""),ISTEXT(A33),A33&lt;&gt;"!!!!!!"),A33,IF(Z33="","",INDEX('liste reference'!$A$6:$A$1245,Z33)))))</f>
        <v>HYGDUR</v>
      </c>
      <c r="Z33" s="511" t="n">
        <f aca="false">IF(ISERROR(MATCH(A33,'liste reference'!$A$6:$A$1245,0)),IF(ISERROR(MATCH(A33,'liste reference'!$B$6:$B$1245,0)),"",(MATCH(A33,'liste reference'!$B$6:$B$1245,0))),(MATCH(A33,'liste reference'!$A$6:$A$1245,0)))</f>
        <v>306</v>
      </c>
    </row>
    <row r="34" customFormat="false" ht="12.75" hidden="false" customHeight="false" outlineLevel="0" collapsed="false">
      <c r="A34" s="530" t="s">
        <v>1126</v>
      </c>
      <c r="B34" s="531" t="n">
        <v>0.2</v>
      </c>
      <c r="C34" s="532" t="n">
        <v>0.005</v>
      </c>
      <c r="D34" s="533" t="str">
        <f aca="false">IF(ISERROR(VLOOKUP($A34,'liste reference'!$A$6:$B$1245,2,0)),IF(ISERROR(VLOOKUP($A34,'liste reference'!$B$6:$B$1245,1,0)),"",VLOOKUP($A34,'liste reference'!$B$6:$B$1245,1,0)),VLOOKUP($A34,'liste reference'!$A$6:$B$1245,2,0))</f>
        <v>Platyhypnidium riparioides</v>
      </c>
      <c r="E34" s="534" t="e">
        <f aca="false">IF(D34="",0,VLOOKUP(D34,D$22:D33,1,0))</f>
        <v>#N/A</v>
      </c>
      <c r="F34" s="535" t="n">
        <f aca="false">IF(AND(OR(A34="",A34="!!!!!!"),B34="",C34=""),"",IF(OR(AND(B34="",C34=""),ISERROR(C34+B34)),"!!!",($B34*$B$7+$C34*$C$7)/100))</f>
        <v>0.18635</v>
      </c>
      <c r="G34" s="536" t="str">
        <f aca="false">IF(A34="","",IF(ISERROR(VLOOKUP($A34,'liste reference'!$A$6:$Q$1245,9,0)),IF(ISERROR(VLOOKUP($A34,'liste reference'!$B$6:$Q$1245,8,0)),"    -",VLOOKUP($A34,'liste reference'!$B$6:$Q$1245,8,0)),VLOOKUP($A34,'liste reference'!$A$6:$Q$1245,9,0)))</f>
        <v>BRm</v>
      </c>
      <c r="H34" s="537" t="n">
        <f aca="false">IF(A34="","x",IF(ISERROR(VLOOKUP($A34,'liste reference'!$A$6:$Q$1245,10,0)),IF(ISERROR(VLOOKUP($A34,'liste reference'!$B$6:$Q$1245,9,0)),"x",VLOOKUP($A34,'liste reference'!$B$6:$Q$1245,9,0)),VLOOKUP($A34,'liste reference'!$A$6:$Q$1245,10,0)))</f>
        <v>5</v>
      </c>
      <c r="I34" s="321" t="n">
        <f aca="false">IF(A34="","",1)</f>
        <v>1</v>
      </c>
      <c r="J34" s="538" t="n">
        <f aca="false">IF(ISNUMBER($H34),IF(ISERROR(VLOOKUP($A34,'liste reference'!$A$6:$Q$1245,6,0)),IF(ISERROR(VLOOKUP($A34,'liste reference'!$B$6:$Q$1245,5,0)),"nu",VLOOKUP($A34,'liste reference'!$B$6:$Q$1245,5,0)),VLOOKUP($A34,'liste reference'!$A$6:$Q$1245,6,0)),"nu")</f>
        <v>12</v>
      </c>
      <c r="K34" s="538" t="n">
        <f aca="false">IF(ISNUMBER($H34),IF(ISERROR(VLOOKUP($A34,'liste reference'!$A$6:$Q$1245,7,0)),IF(ISERROR(VLOOKUP($A34,'liste reference'!$B$6:$Q$1245,6,0)),"nu",VLOOKUP($A34,'liste reference'!$B$6:$Q$1245,6,0)),VLOOKUP($A34,'liste reference'!$A$6:$Q$1245,7,0)),"nu")</f>
        <v>1</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Platyhypnidium riparioides</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1246</v>
      </c>
      <c r="R34" s="525" t="n">
        <f aca="false">IF(ISTEXT(H34),"",(B34*$B$7/100)+(C34*$C$7/100))</f>
        <v>0.18635</v>
      </c>
      <c r="S34" s="526" t="n">
        <f aca="false">IF(OR(ISTEXT(H34),R34=0),"",IF(R34&lt;0.1,1,IF(R34&lt;1,2,IF(R34&lt;10,3,IF(R34&lt;50,4,IF(R34&gt;=50,5,""))))))</f>
        <v>2</v>
      </c>
      <c r="T34" s="526" t="n">
        <f aca="false">IF(ISERROR(S34*J34),0,S34*J34)</f>
        <v>24</v>
      </c>
      <c r="U34" s="526" t="n">
        <f aca="false">IF(ISERROR(S34*J34*K34),0,S34*J34*K34)</f>
        <v>24</v>
      </c>
      <c r="V34" s="542" t="n">
        <f aca="false">IF(ISERROR(S34*K34),0,S34*K34)</f>
        <v>2</v>
      </c>
      <c r="W34" s="543"/>
      <c r="X34" s="544"/>
      <c r="Y34" s="529" t="str">
        <f aca="false">IF(AND(ISNUMBER(F34),OR(A34="",A34="!!!!!!")),"!!!!!!",IF(A34="new.cod","NEWCOD",IF(AND((Z34=""),ISTEXT(A34),A34&lt;&gt;"!!!!!!"),A34,IF(Z34="","",INDEX('liste reference'!$A$6:$A$1245,Z34)))))</f>
        <v>PLTRIP</v>
      </c>
      <c r="Z34" s="511" t="n">
        <f aca="false">IF(ISERROR(MATCH(A34,'liste reference'!$A$6:$A$1245,0)),IF(ISERROR(MATCH(A34,'liste reference'!$B$6:$B$1245,0)),"",(MATCH(A34,'liste reference'!$B$6:$B$1245,0))),(MATCH(A34,'liste reference'!$A$6:$A$1245,0)))</f>
        <v>353</v>
      </c>
    </row>
    <row r="35" customFormat="false" ht="12.75" hidden="false" customHeight="false" outlineLevel="0" collapsed="false">
      <c r="A35" s="530" t="s">
        <v>1246</v>
      </c>
      <c r="B35" s="531" t="n">
        <v>0.005</v>
      </c>
      <c r="C35" s="532"/>
      <c r="D35" s="533" t="str">
        <f aca="false">IF(ISERROR(VLOOKUP($A35,'liste reference'!$A$6:$B$1245,2,0)),IF(ISERROR(VLOOKUP($A35,'liste reference'!$B$6:$B$1245,1,0)),"",VLOOKUP($A35,'liste reference'!$B$6:$B$1245,1,0)),VLOOKUP($A35,'liste reference'!$A$6:$B$1245,2,0))</f>
        <v>Thamnobryum alopecurum</v>
      </c>
      <c r="E35" s="534" t="e">
        <f aca="false">IF(D35="",0,VLOOKUP(D35,D$22:D34,1,0))</f>
        <v>#N/A</v>
      </c>
      <c r="F35" s="535" t="n">
        <f aca="false">IF(AND(OR(A35="",A35="!!!!!!"),B35="",C35=""),"",IF(OR(AND(B35="",C35=""),ISERROR(C35+B35)),"!!!",($B35*$B$7+$C35*$C$7)/100))</f>
        <v>0.00465</v>
      </c>
      <c r="G35" s="536" t="str">
        <f aca="false">IF(A35="","",IF(ISERROR(VLOOKUP($A35,'liste reference'!$A$6:$Q$1245,9,0)),IF(ISERROR(VLOOKUP($A35,'liste reference'!$B$6:$Q$1245,8,0)),"    -",VLOOKUP($A35,'liste reference'!$B$6:$Q$1245,8,0)),VLOOKUP($A35,'liste reference'!$A$6:$Q$1245,9,0)))</f>
        <v>BRm</v>
      </c>
      <c r="H35" s="537" t="n">
        <f aca="false">IF(A35="","x",IF(ISERROR(VLOOKUP($A35,'liste reference'!$A$6:$Q$1245,10,0)),IF(ISERROR(VLOOKUP($A35,'liste reference'!$B$6:$Q$1245,9,0)),"x",VLOOKUP($A35,'liste reference'!$B$6:$Q$1245,9,0)),VLOOKUP($A35,'liste reference'!$A$6:$Q$1245,10,0)))</f>
        <v>5</v>
      </c>
      <c r="I35" s="321" t="n">
        <f aca="false">IF(A35="","",1)</f>
        <v>1</v>
      </c>
      <c r="J35" s="538" t="n">
        <f aca="false">IF(ISNUMBER($H35),IF(ISERROR(VLOOKUP($A35,'liste reference'!$A$6:$Q$1245,6,0)),IF(ISERROR(VLOOKUP($A35,'liste reference'!$B$6:$Q$1245,5,0)),"nu",VLOOKUP($A35,'liste reference'!$B$6:$Q$1245,5,0)),VLOOKUP($A35,'liste reference'!$A$6:$Q$1245,6,0)),"nu")</f>
        <v>15</v>
      </c>
      <c r="K35" s="538" t="n">
        <f aca="false">IF(ISNUMBER($H35),IF(ISERROR(VLOOKUP($A35,'liste reference'!$A$6:$Q$1245,7,0)),IF(ISERROR(VLOOKUP($A35,'liste reference'!$B$6:$Q$1245,6,0)),"nu",VLOOKUP($A35,'liste reference'!$B$6:$Q$1245,6,0)),VLOOKUP($A35,'liste reference'!$A$6:$Q$1245,7,0)),"nu")</f>
        <v>2</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Thamnobryum alopecurum</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1344</v>
      </c>
      <c r="R35" s="525" t="n">
        <f aca="false">IF(ISTEXT(H35),"",(B35*$B$7/100)+(C35*$C$7/100))</f>
        <v>0.00465</v>
      </c>
      <c r="S35" s="526" t="n">
        <f aca="false">IF(OR(ISTEXT(H35),R35=0),"",IF(R35&lt;0.1,1,IF(R35&lt;1,2,IF(R35&lt;10,3,IF(R35&lt;50,4,IF(R35&gt;=50,5,""))))))</f>
        <v>1</v>
      </c>
      <c r="T35" s="526" t="n">
        <f aca="false">IF(ISERROR(S35*J35),0,S35*J35)</f>
        <v>15</v>
      </c>
      <c r="U35" s="526" t="n">
        <f aca="false">IF(ISERROR(S35*J35*K35),0,S35*J35*K35)</f>
        <v>30</v>
      </c>
      <c r="V35" s="542" t="n">
        <f aca="false">IF(ISERROR(S35*K35),0,S35*K35)</f>
        <v>2</v>
      </c>
      <c r="W35" s="543"/>
      <c r="X35" s="544"/>
      <c r="Y35" s="529" t="str">
        <f aca="false">IF(AND(ISNUMBER(F35),OR(A35="",A35="!!!!!!")),"!!!!!!",IF(A35="new.cod","NEWCOD",IF(AND((Z35=""),ISTEXT(A35),A35&lt;&gt;"!!!!!!"),A35,IF(Z35="","",INDEX('liste reference'!$A$6:$A$1245,Z35)))))</f>
        <v>THAALO</v>
      </c>
      <c r="Z35" s="511" t="n">
        <f aca="false">IF(ISERROR(MATCH(A35,'liste reference'!$A$6:$A$1245,0)),IF(ISERROR(MATCH(A35,'liste reference'!$B$6:$B$1245,0)),"",(MATCH(A35,'liste reference'!$B$6:$B$1245,0))),(MATCH(A35,'liste reference'!$A$6:$A$1245,0)))</f>
        <v>390</v>
      </c>
    </row>
    <row r="36" customFormat="false" ht="12.75" hidden="false" customHeight="false" outlineLevel="0" collapsed="false">
      <c r="A36" s="530" t="s">
        <v>1308</v>
      </c>
      <c r="B36" s="531" t="n">
        <v>0.005</v>
      </c>
      <c r="C36" s="532"/>
      <c r="D36" s="533" t="str">
        <f aca="false">IF(ISERROR(VLOOKUP($A36,'liste reference'!$A$6:$B$1245,2,0)),IF(ISERROR(VLOOKUP($A36,'liste reference'!$B$6:$B$1245,1,0)),"",VLOOKUP($A36,'liste reference'!$B$6:$B$1245,1,0)),VLOOKUP($A36,'liste reference'!$A$6:$B$1245,2,0))</f>
        <v>Equisetum hyemale</v>
      </c>
      <c r="E36" s="534" t="e">
        <f aca="false">IF(D36="",0,VLOOKUP(D36,D$22:D35,1,0))</f>
        <v>#N/A</v>
      </c>
      <c r="F36" s="535" t="n">
        <f aca="false">IF(AND(OR(A36="",A36="!!!!!!"),B36="",C36=""),"",IF(OR(AND(B36="",C36=""),ISERROR(C36+B36)),"!!!",($B36*$B$7+$C36*$C$7)/100))</f>
        <v>0.00465</v>
      </c>
      <c r="G36" s="536" t="str">
        <f aca="false">IF(A36="","",IF(ISERROR(VLOOKUP($A36,'liste reference'!$A$6:$Q$1245,9,0)),IF(ISERROR(VLOOKUP($A36,'liste reference'!$B$6:$Q$1245,8,0)),"    -",VLOOKUP($A36,'liste reference'!$B$6:$Q$1245,8,0)),VLOOKUP($A36,'liste reference'!$A$6:$Q$1245,9,0)))</f>
        <v>PTE</v>
      </c>
      <c r="H36" s="537" t="n">
        <f aca="false">IF(A36="","x",IF(ISERROR(VLOOKUP($A36,'liste reference'!$A$6:$Q$1245,10,0)),IF(ISERROR(VLOOKUP($A36,'liste reference'!$B$6:$Q$1245,9,0)),"x",VLOOKUP($A36,'liste reference'!$B$6:$Q$1245,9,0)),VLOOKUP($A36,'liste reference'!$A$6:$Q$1245,10,0)))</f>
        <v>6</v>
      </c>
      <c r="I36" s="321" t="n">
        <f aca="false">IF(A36="","",1)</f>
        <v>1</v>
      </c>
      <c r="J36" s="538" t="str">
        <f aca="false">IF(ISNUMBER($H36),IF(ISERROR(VLOOKUP($A36,'liste reference'!$A$6:$Q$1245,6,0)),IF(ISERROR(VLOOKUP($A36,'liste reference'!$B$6:$Q$1245,5,0)),"nu",VLOOKUP($A36,'liste reference'!$B$6:$Q$1245,5,0)),VLOOKUP($A36,'liste reference'!$A$6:$Q$1245,6,0)),"nu")</f>
        <v>nc</v>
      </c>
      <c r="K36" s="538" t="str">
        <f aca="false">IF(ISNUMBER($H36),IF(ISERROR(VLOOKUP($A36,'liste reference'!$A$6:$Q$1245,7,0)),IF(ISERROR(VLOOKUP($A36,'liste reference'!$B$6:$Q$1245,6,0)),"nu",VLOOKUP($A36,'liste reference'!$B$6:$Q$1245,6,0)),VLOOKUP($A36,'liste reference'!$A$6:$Q$1245,7,0)),"nu")</f>
        <v>nc</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Equisetum hyemale</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29991</v>
      </c>
      <c r="R36" s="525" t="n">
        <f aca="false">IF(ISTEXT(H36),"",(B36*$B$7/100)+(C36*$C$7/100))</f>
        <v>0.00465</v>
      </c>
      <c r="S36" s="526" t="n">
        <f aca="false">IF(OR(ISTEXT(H36),R36=0),"",IF(R36&lt;0.1,1,IF(R36&lt;1,2,IF(R36&lt;10,3,IF(R36&lt;50,4,IF(R36&gt;=50,5,""))))))</f>
        <v>1</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EQUHYE</v>
      </c>
      <c r="Z36" s="511" t="n">
        <f aca="false">IF(ISERROR(MATCH(A36,'liste reference'!$A$6:$A$1245,0)),IF(ISERROR(MATCH(A36,'liste reference'!$B$6:$B$1245,0)),"",(MATCH(A36,'liste reference'!$B$6:$B$1245,0))),(MATCH(A36,'liste reference'!$A$6:$A$1245,0)))</f>
        <v>409</v>
      </c>
    </row>
    <row r="37" customFormat="false" ht="12.75" hidden="false" customHeight="false" outlineLevel="0" collapsed="false">
      <c r="A37" s="530" t="s">
        <v>2456</v>
      </c>
      <c r="B37" s="531" t="n">
        <v>0.005</v>
      </c>
      <c r="C37" s="532"/>
      <c r="D37" s="533" t="str">
        <f aca="false">IF(ISERROR(VLOOKUP($A37,'liste reference'!$A$6:$B$1245,2,0)),IF(ISERROR(VLOOKUP($A37,'liste reference'!$B$6:$B$1245,1,0)),"",VLOOKUP($A37,'liste reference'!$B$6:$B$1245,1,0)),VLOOKUP($A37,'liste reference'!$A$6:$B$1245,2,0))</f>
        <v>Veronica beccabunga</v>
      </c>
      <c r="E37" s="534" t="e">
        <f aca="false">IF(D37="",0,VLOOKUP(D37,D$22:D36,1,0))</f>
        <v>#N/A</v>
      </c>
      <c r="F37" s="535" t="n">
        <f aca="false">IF(AND(OR(A37="",A37="!!!!!!"),B37="",C37=""),"",IF(OR(AND(B37="",C37=""),ISERROR(C37+B37)),"!!!",($B37*$B$7+$C37*$C$7)/100))</f>
        <v>0.00465</v>
      </c>
      <c r="G37" s="536" t="str">
        <f aca="false">IF(A37="","",IF(ISERROR(VLOOKUP($A37,'liste reference'!$A$6:$Q$1245,9,0)),IF(ISERROR(VLOOKUP($A37,'liste reference'!$B$6:$Q$1245,8,0)),"    -",VLOOKUP($A37,'liste reference'!$B$6:$Q$1245,8,0)),VLOOKUP($A37,'liste reference'!$A$6:$Q$1245,9,0)))</f>
        <v>PHe</v>
      </c>
      <c r="H37" s="537" t="n">
        <f aca="false">IF(A37="","x",IF(ISERROR(VLOOKUP($A37,'liste reference'!$A$6:$Q$1245,10,0)),IF(ISERROR(VLOOKUP($A37,'liste reference'!$B$6:$Q$1245,9,0)),"x",VLOOKUP($A37,'liste reference'!$B$6:$Q$1245,9,0)),VLOOKUP($A37,'liste reference'!$A$6:$Q$1245,10,0)))</f>
        <v>8</v>
      </c>
      <c r="I37" s="321" t="n">
        <f aca="false">IF(A37="","",1)</f>
        <v>1</v>
      </c>
      <c r="J37" s="538" t="n">
        <f aca="false">IF(ISNUMBER($H37),IF(ISERROR(VLOOKUP($A37,'liste reference'!$A$6:$Q$1245,6,0)),IF(ISERROR(VLOOKUP($A37,'liste reference'!$B$6:$Q$1245,5,0)),"nu",VLOOKUP($A37,'liste reference'!$B$6:$Q$1245,5,0)),VLOOKUP($A37,'liste reference'!$A$6:$Q$1245,6,0)),"nu")</f>
        <v>10</v>
      </c>
      <c r="K37" s="538" t="n">
        <f aca="false">IF(ISNUMBER($H37),IF(ISERROR(VLOOKUP($A37,'liste reference'!$A$6:$Q$1245,7,0)),IF(ISERROR(VLOOKUP($A37,'liste reference'!$B$6:$Q$1245,6,0)),"nu",VLOOKUP($A37,'liste reference'!$B$6:$Q$1245,6,0)),VLOOKUP($A37,'liste reference'!$A$6:$Q$1245,7,0)),"nu")</f>
        <v>1</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Veronica beccabunga</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1957</v>
      </c>
      <c r="R37" s="525" t="n">
        <f aca="false">IF(ISTEXT(H37),"",(B37*$B$7/100)+(C37*$C$7/100))</f>
        <v>0.00465</v>
      </c>
      <c r="S37" s="526" t="n">
        <f aca="false">IF(OR(ISTEXT(H37),R37=0),"",IF(R37&lt;0.1,1,IF(R37&lt;1,2,IF(R37&lt;10,3,IF(R37&lt;50,4,IF(R37&gt;=50,5,""))))))</f>
        <v>1</v>
      </c>
      <c r="T37" s="526" t="n">
        <f aca="false">IF(ISERROR(S37*J37),0,S37*J37)</f>
        <v>10</v>
      </c>
      <c r="U37" s="526" t="n">
        <f aca="false">IF(ISERROR(S37*J37*K37),0,S37*J37*K37)</f>
        <v>10</v>
      </c>
      <c r="V37" s="542" t="n">
        <f aca="false">IF(ISERROR(S37*K37),0,S37*K37)</f>
        <v>1</v>
      </c>
      <c r="W37" s="543"/>
      <c r="X37" s="544"/>
      <c r="Y37" s="529" t="str">
        <f aca="false">IF(AND(ISNUMBER(F37),OR(A37="",A37="!!!!!!")),"!!!!!!",IF(A37="new.cod","NEWCOD",IF(AND((Z37=""),ISTEXT(A37),A37&lt;&gt;"!!!!!!"),A37,IF(Z37="","",INDEX('liste reference'!$A$6:$A$1245,Z37)))))</f>
        <v>VERBEC</v>
      </c>
      <c r="Z37" s="511" t="n">
        <f aca="false">IF(ISERROR(MATCH(A37,'liste reference'!$A$6:$A$1245,0)),IF(ISERROR(MATCH(A37,'liste reference'!$B$6:$B$1245,0)),"",(MATCH(A37,'liste reference'!$B$6:$B$1245,0))),(MATCH(A37,'liste reference'!$A$6:$A$1245,0)))</f>
        <v>816</v>
      </c>
    </row>
    <row r="38" customFormat="false" ht="12.75" hidden="false" customHeight="false" outlineLevel="0" collapsed="false">
      <c r="A38" s="530" t="s">
        <v>2534</v>
      </c>
      <c r="B38" s="531"/>
      <c r="C38" s="532" t="n">
        <v>0.005</v>
      </c>
      <c r="D38" s="533" t="str">
        <f aca="false">IF(ISERROR(VLOOKUP($A38,'liste reference'!$A$6:$B$1245,2,0)),IF(ISERROR(VLOOKUP($A38,'liste reference'!$B$6:$B$1245,1,0)),"",VLOOKUP($A38,'liste reference'!$B$6:$B$1245,1,0)),VLOOKUP($A38,'liste reference'!$A$6:$B$1245,2,0))</f>
        <v>Cardamine raphanifolia</v>
      </c>
      <c r="E38" s="534" t="e">
        <f aca="false">IF(D38="",0,VLOOKUP(D38,D$22:D37,1,0))</f>
        <v>#N/A</v>
      </c>
      <c r="F38" s="535" t="n">
        <f aca="false">IF(AND(OR(A38="",A38="!!!!!!"),B38="",C38=""),"",IF(OR(AND(B38="",C38=""),ISERROR(C38+B38)),"!!!",($B38*$B$7+$C38*$C$7)/100))</f>
        <v>0.00035</v>
      </c>
      <c r="G38" s="536" t="str">
        <f aca="false">IF(A38="","",IF(ISERROR(VLOOKUP($A38,'liste reference'!$A$6:$Q$1245,9,0)),IF(ISERROR(VLOOKUP($A38,'liste reference'!$B$6:$Q$1245,8,0)),"    -",VLOOKUP($A38,'liste reference'!$B$6:$Q$1245,8,0)),VLOOKUP($A38,'liste reference'!$A$6:$Q$1245,9,0)))</f>
        <v>PHg</v>
      </c>
      <c r="H38" s="537" t="n">
        <f aca="false">IF(A38="","x",IF(ISERROR(VLOOKUP($A38,'liste reference'!$A$6:$Q$1245,10,0)),IF(ISERROR(VLOOKUP($A38,'liste reference'!$B$6:$Q$1245,9,0)),"x",VLOOKUP($A38,'liste reference'!$B$6:$Q$1245,9,0)),VLOOKUP($A38,'liste reference'!$A$6:$Q$1245,10,0)))</f>
        <v>9</v>
      </c>
      <c r="I38" s="321" t="n">
        <f aca="false">IF(A38="","",1)</f>
        <v>1</v>
      </c>
      <c r="J38" s="538" t="str">
        <f aca="false">IF(ISNUMBER($H38),IF(ISERROR(VLOOKUP($A38,'liste reference'!$A$6:$Q$1245,6,0)),IF(ISERROR(VLOOKUP($A38,'liste reference'!$B$6:$Q$1245,5,0)),"nu",VLOOKUP($A38,'liste reference'!$B$6:$Q$1245,5,0)),VLOOKUP($A38,'liste reference'!$A$6:$Q$1245,6,0)),"nu")</f>
        <v>nc</v>
      </c>
      <c r="K38" s="538" t="str">
        <f aca="false">IF(ISNUMBER($H38),IF(ISERROR(VLOOKUP($A38,'liste reference'!$A$6:$Q$1245,7,0)),IF(ISERROR(VLOOKUP($A38,'liste reference'!$B$6:$Q$1245,6,0)),"nu",VLOOKUP($A38,'liste reference'!$B$6:$Q$1245,6,0)),VLOOKUP($A38,'liste reference'!$A$6:$Q$1245,7,0)),"nu")</f>
        <v>nc</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Cardamine raphanifolia</v>
      </c>
      <c r="M38" s="539"/>
      <c r="N38" s="539"/>
      <c r="O38" s="539"/>
      <c r="P38" s="540" t="s">
        <v>3619</v>
      </c>
      <c r="Q38" s="541" t="n">
        <f aca="false">IF(OR($A38="NEWCOD",$A38="!!!!!!"),IF(X38="","NoCod",X38),IF($A38="","",IF(ISERROR(VLOOKUP($A38,'liste reference'!$A$6:$H$1245,8,FALSE())),IF(ISERROR(VLOOKUP($A38,'liste reference'!$B$6:$H$1245,7,FALSE())),"",VLOOKUP($A38,'liste reference'!$B$6:$H$1245,7,FALSE())),VLOOKUP($A38,'liste reference'!$A$6:$H$1245,8,FALSE()))))</f>
        <v>31520</v>
      </c>
      <c r="R38" s="525" t="n">
        <f aca="false">IF(ISTEXT(H38),"",(B38*$B$7/100)+(C38*$C$7/100))</f>
        <v>0.00035</v>
      </c>
      <c r="S38" s="526" t="n">
        <f aca="false">IF(OR(ISTEXT(H38),R38=0),"",IF(R38&lt;0.1,1,IF(R38&lt;1,2,IF(R38&lt;10,3,IF(R38&lt;50,4,IF(R38&gt;=50,5,""))))))</f>
        <v>1</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CAMRAP</v>
      </c>
      <c r="Z38" s="511" t="n">
        <f aca="false">IF(ISERROR(MATCH(A38,'liste reference'!$A$6:$A$1245,0)),IF(ISERROR(MATCH(A38,'liste reference'!$B$6:$B$1245,0)),"",(MATCH(A38,'liste reference'!$B$6:$B$1245,0))),(MATCH(A38,'liste reference'!$A$6:$A$1245,0)))</f>
        <v>848</v>
      </c>
    </row>
    <row r="39" customFormat="false" ht="12.75" hidden="false" customHeight="false" outlineLevel="0" collapsed="false">
      <c r="A39" s="530" t="s">
        <v>2659</v>
      </c>
      <c r="B39" s="531" t="n">
        <v>0.005</v>
      </c>
      <c r="C39" s="532"/>
      <c r="D39" s="533" t="str">
        <f aca="false">IF(ISERROR(VLOOKUP($A39,'liste reference'!$A$6:$B$1245,2,0)),IF(ISERROR(VLOOKUP($A39,'liste reference'!$B$6:$B$1245,1,0)),"",VLOOKUP($A39,'liste reference'!$B$6:$B$1245,1,0)),VLOOKUP($A39,'liste reference'!$A$6:$B$1245,2,0))</f>
        <v>Epilobium obscurum</v>
      </c>
      <c r="E39" s="534" t="e">
        <f aca="false">IF(D39="",0,VLOOKUP(D39,D$22:D38,1,0))</f>
        <v>#N/A</v>
      </c>
      <c r="F39" s="535" t="n">
        <f aca="false">IF(AND(OR(A39="",A39="!!!!!!"),B39="",C39=""),"",IF(OR(AND(B39="",C39=""),ISERROR(C39+B39)),"!!!",($B39*$B$7+$C39*$C$7)/100))</f>
        <v>0.00465</v>
      </c>
      <c r="G39" s="536" t="str">
        <f aca="false">IF(A39="","",IF(ISERROR(VLOOKUP($A39,'liste reference'!$A$6:$Q$1245,9,0)),IF(ISERROR(VLOOKUP($A39,'liste reference'!$B$6:$Q$1245,8,0)),"    -",VLOOKUP($A39,'liste reference'!$B$6:$Q$1245,8,0)),VLOOKUP($A39,'liste reference'!$A$6:$Q$1245,9,0)))</f>
        <v>PHg</v>
      </c>
      <c r="H39" s="537" t="n">
        <f aca="false">IF(A39="","x",IF(ISERROR(VLOOKUP($A39,'liste reference'!$A$6:$Q$1245,10,0)),IF(ISERROR(VLOOKUP($A39,'liste reference'!$B$6:$Q$1245,9,0)),"x",VLOOKUP($A39,'liste reference'!$B$6:$Q$1245,9,0)),VLOOKUP($A39,'liste reference'!$A$6:$Q$1245,10,0)))</f>
        <v>9</v>
      </c>
      <c r="I39" s="321" t="n">
        <f aca="false">IF(A39="","",1)</f>
        <v>1</v>
      </c>
      <c r="J39" s="538" t="str">
        <f aca="false">IF(ISNUMBER($H39),IF(ISERROR(VLOOKUP($A39,'liste reference'!$A$6:$Q$1245,6,0)),IF(ISERROR(VLOOKUP($A39,'liste reference'!$B$6:$Q$1245,5,0)),"nu",VLOOKUP($A39,'liste reference'!$B$6:$Q$1245,5,0)),VLOOKUP($A39,'liste reference'!$A$6:$Q$1245,6,0)),"nu")</f>
        <v>nc</v>
      </c>
      <c r="K39" s="538" t="str">
        <f aca="false">IF(ISNUMBER($H39),IF(ISERROR(VLOOKUP($A39,'liste reference'!$A$6:$Q$1245,7,0)),IF(ISERROR(VLOOKUP($A39,'liste reference'!$B$6:$Q$1245,6,0)),"nu",VLOOKUP($A39,'liste reference'!$B$6:$Q$1245,6,0)),VLOOKUP($A39,'liste reference'!$A$6:$Q$1245,7,0)),"nu")</f>
        <v>nc</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Epilobium obscurum</v>
      </c>
      <c r="M39" s="539"/>
      <c r="N39" s="539"/>
      <c r="O39" s="539"/>
      <c r="P39" s="540" t="s">
        <v>3619</v>
      </c>
      <c r="Q39" s="541" t="n">
        <f aca="false">IF(OR($A39="NEWCOD",$A39="!!!!!!"),IF(X39="","NoCod",X39),IF($A39="","",IF(ISERROR(VLOOKUP($A39,'liste reference'!$A$6:$H$1245,8,FALSE())),IF(ISERROR(VLOOKUP($A39,'liste reference'!$B$6:$H$1245,7,FALSE())),"",VLOOKUP($A39,'liste reference'!$B$6:$H$1245,7,FALSE())),VLOOKUP($A39,'liste reference'!$A$6:$H$1245,8,FALSE()))))</f>
        <v>1849</v>
      </c>
      <c r="R39" s="525" t="n">
        <f aca="false">IF(ISTEXT(H39),"",(B39*$B$7/100)+(C39*$C$7/100))</f>
        <v>0.00465</v>
      </c>
      <c r="S39" s="526" t="n">
        <f aca="false">IF(OR(ISTEXT(H39),R39=0),"",IF(R39&lt;0.1,1,IF(R39&lt;1,2,IF(R39&lt;10,3,IF(R39&lt;50,4,IF(R39&gt;=50,5,""))))))</f>
        <v>1</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EPIOBS</v>
      </c>
      <c r="Z39" s="511" t="n">
        <f aca="false">IF(ISERROR(MATCH(A39,'liste reference'!$A$6:$A$1245,0)),IF(ISERROR(MATCH(A39,'liste reference'!$B$6:$B$1245,0)),"",(MATCH(A39,'liste reference'!$B$6:$B$1245,0))),(MATCH(A39,'liste reference'!$A$6:$A$1245,0)))</f>
        <v>899</v>
      </c>
    </row>
    <row r="40" customFormat="false" ht="12.75" hidden="false" customHeight="false" outlineLevel="0" collapsed="false">
      <c r="A40" s="530" t="s">
        <v>3424</v>
      </c>
      <c r="B40" s="531" t="n">
        <v>0.005</v>
      </c>
      <c r="C40" s="532" t="n">
        <v>0.005</v>
      </c>
      <c r="D40" s="533" t="str">
        <f aca="false">IF(ISERROR(VLOOKUP($A40,'liste reference'!$A$6:$B$1245,2,0)),IF(ISERROR(VLOOKUP($A40,'liste reference'!$B$6:$B$1245,1,0)),"",VLOOKUP($A40,'liste reference'!$B$6:$B$1245,1,0)),VLOOKUP($A40,'liste reference'!$A$6:$B$1245,2,0))</f>
        <v>Ranunculus repens</v>
      </c>
      <c r="E40" s="534" t="e">
        <f aca="false">IF(D40="",0,VLOOKUP(D40,D$22:D39,1,0))</f>
        <v>#N/A</v>
      </c>
      <c r="F40" s="535" t="n">
        <f aca="false">IF(AND(OR(A40="",A40="!!!!!!"),B40="",C40=""),"",IF(OR(AND(B40="",C40=""),ISERROR(C40+B40)),"!!!",($B40*$B$7+$C40*$C$7)/100))</f>
        <v>0.005</v>
      </c>
      <c r="G40" s="536" t="str">
        <f aca="false">IF(A40="","",IF(ISERROR(VLOOKUP($A40,'liste reference'!$A$6:$Q$1245,9,0)),IF(ISERROR(VLOOKUP($A40,'liste reference'!$B$6:$Q$1245,8,0)),"    -",VLOOKUP($A40,'liste reference'!$B$6:$Q$1245,8,0)),VLOOKUP($A40,'liste reference'!$A$6:$Q$1245,9,0)))</f>
        <v>PHx</v>
      </c>
      <c r="H40" s="537" t="n">
        <f aca="false">IF(A40="","x",IF(ISERROR(VLOOKUP($A40,'liste reference'!$A$6:$Q$1245,10,0)),IF(ISERROR(VLOOKUP($A40,'liste reference'!$B$6:$Q$1245,9,0)),"x",VLOOKUP($A40,'liste reference'!$B$6:$Q$1245,9,0)),VLOOKUP($A40,'liste reference'!$A$6:$Q$1245,10,0)))</f>
        <v>10</v>
      </c>
      <c r="I40" s="321" t="n">
        <f aca="false">IF(A40="","",1)</f>
        <v>1</v>
      </c>
      <c r="J40" s="538" t="str">
        <f aca="false">IF(ISNUMBER($H40),IF(ISERROR(VLOOKUP($A40,'liste reference'!$A$6:$Q$1245,6,0)),IF(ISERROR(VLOOKUP($A40,'liste reference'!$B$6:$Q$1245,5,0)),"nu",VLOOKUP($A40,'liste reference'!$B$6:$Q$1245,5,0)),VLOOKUP($A40,'liste reference'!$A$6:$Q$1245,6,0)),"nu")</f>
        <v>nc</v>
      </c>
      <c r="K40" s="538" t="str">
        <f aca="false">IF(ISNUMBER($H40),IF(ISERROR(VLOOKUP($A40,'liste reference'!$A$6:$Q$1245,7,0)),IF(ISERROR(VLOOKUP($A40,'liste reference'!$B$6:$Q$1245,6,0)),"nu",VLOOKUP($A40,'liste reference'!$B$6:$Q$1245,6,0)),VLOOKUP($A40,'liste reference'!$A$6:$Q$1245,7,0)),"nu")</f>
        <v>nc</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Ranunculus repens</v>
      </c>
      <c r="M40" s="539"/>
      <c r="N40" s="539"/>
      <c r="O40" s="539"/>
      <c r="P40" s="540" t="s">
        <v>3619</v>
      </c>
      <c r="Q40" s="541" t="n">
        <f aca="false">IF(OR($A40="NEWCOD",$A40="!!!!!!"),IF(X40="","NoCod",X40),IF($A40="","",IF(ISERROR(VLOOKUP($A40,'liste reference'!$A$6:$H$1245,8,FALSE())),IF(ISERROR(VLOOKUP($A40,'liste reference'!$B$6:$H$1245,7,FALSE())),"",VLOOKUP($A40,'liste reference'!$B$6:$H$1245,7,FALSE())),VLOOKUP($A40,'liste reference'!$A$6:$H$1245,8,FALSE()))))</f>
        <v>1910</v>
      </c>
      <c r="R40" s="525" t="n">
        <f aca="false">IF(ISTEXT(H40),"",(B40*$B$7/100)+(C40*$C$7/100))</f>
        <v>0.005</v>
      </c>
      <c r="S40" s="526" t="n">
        <f aca="false">IF(OR(ISTEXT(H40),R40=0),"",IF(R40&lt;0.1,1,IF(R40&lt;1,2,IF(R40&lt;10,3,IF(R40&lt;50,4,IF(R40&gt;=50,5,""))))))</f>
        <v>1</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RANREP</v>
      </c>
      <c r="Z40" s="511" t="n">
        <f aca="false">IF(ISERROR(MATCH(A40,'liste reference'!$A$6:$A$1245,0)),IF(ISERROR(MATCH(A40,'liste reference'!$B$6:$B$1245,0)),"",(MATCH(A40,'liste reference'!$B$6:$B$1245,0))),(MATCH(A40,'liste reference'!$A$6:$A$1245,0)))</f>
        <v>1198</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2.77218</v>
      </c>
      <c r="G83" s="464"/>
      <c r="H83" s="464"/>
      <c r="I83" s="464"/>
      <c r="J83" s="464"/>
      <c r="K83" s="464"/>
      <c r="L83" s="464"/>
      <c r="M83" s="526"/>
      <c r="N83" s="526"/>
      <c r="O83" s="526"/>
      <c r="P83" s="526"/>
      <c r="Q83" s="526"/>
      <c r="R83" s="526"/>
      <c r="S83" s="526"/>
      <c r="T83" s="526"/>
      <c r="U83" s="526"/>
      <c r="V83" s="526" t="n">
        <f aca="false">SUM(V23:V82)</f>
        <v>31</v>
      </c>
      <c r="W83" s="526"/>
      <c r="X83" s="564"/>
      <c r="Y83" s="564"/>
      <c r="Z83" s="565"/>
    </row>
    <row r="84" customFormat="false" ht="12.75" hidden="true" customHeight="false" outlineLevel="0" collapsed="false">
      <c r="A84" s="559" t="str">
        <f aca="false">A3</f>
        <v>ROTJA</v>
      </c>
      <c r="B84" s="493" t="str">
        <f aca="false">C3</f>
        <v>Py</v>
      </c>
      <c r="C84" s="566" t="str">
        <f aca="false">A4</f>
        <v>(Date)</v>
      </c>
      <c r="D84" s="567" t="n">
        <f aca="false">IF(OR(ISERROR(SUM($U$23:$U$82)/SUM($V$23:$V$82)),F7&lt;&gt;100),-1,SUM($U$23:$U$82)/SUM($V$23:$V$82))</f>
        <v>14.7096774193548</v>
      </c>
      <c r="E84" s="568" t="n">
        <f aca="false">O13</f>
        <v>18</v>
      </c>
      <c r="F84" s="493" t="n">
        <f aca="false">O14</f>
        <v>13</v>
      </c>
      <c r="G84" s="493" t="n">
        <f aca="false">O15</f>
        <v>4</v>
      </c>
      <c r="H84" s="493" t="n">
        <f aca="false">O16</f>
        <v>7</v>
      </c>
      <c r="I84" s="493" t="n">
        <f aca="false">O17</f>
        <v>2</v>
      </c>
      <c r="J84" s="569" t="n">
        <f aca="false">O8</f>
        <v>13.7692307692308</v>
      </c>
      <c r="K84" s="570" t="n">
        <f aca="false">O9</f>
        <v>2.88640969835288</v>
      </c>
      <c r="L84" s="571" t="n">
        <f aca="false">O10</f>
        <v>9</v>
      </c>
      <c r="M84" s="571" t="n">
        <f aca="false">O11</f>
        <v>19</v>
      </c>
      <c r="N84" s="570" t="n">
        <f aca="false">P8</f>
        <v>1.84615384615385</v>
      </c>
      <c r="O84" s="570" t="n">
        <f aca="false">P9</f>
        <v>0.661717328234048</v>
      </c>
      <c r="P84" s="571" t="n">
        <f aca="false">P10</f>
        <v>1</v>
      </c>
      <c r="Q84" s="571" t="n">
        <f aca="false">P11</f>
        <v>3</v>
      </c>
      <c r="R84" s="571" t="n">
        <f aca="false">F21</f>
        <v>2.77218</v>
      </c>
      <c r="S84" s="571" t="n">
        <f aca="false">L11</f>
        <v>0</v>
      </c>
      <c r="T84" s="571" t="n">
        <f aca="false">L12</f>
        <v>6</v>
      </c>
      <c r="U84" s="571" t="n">
        <f aca="false">L13</f>
        <v>7</v>
      </c>
      <c r="V84" s="572" t="n">
        <f aca="false">L15</f>
        <v>4</v>
      </c>
      <c r="W84" s="573" t="n">
        <f aca="false">L15</f>
        <v>4</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45</v>
      </c>
      <c r="U87" s="321"/>
      <c r="V87" s="321"/>
    </row>
    <row r="88" customFormat="false" ht="12.75" hidden="true" customHeight="false" outlineLevel="0" collapsed="false">
      <c r="C88" s="575"/>
      <c r="D88" s="575"/>
      <c r="E88" s="575"/>
      <c r="R88" s="321" t="s">
        <v>3622</v>
      </c>
      <c r="S88" s="321"/>
      <c r="T88" s="577" t="n">
        <f aca="false">VLOOKUP($T$91,($A$23:$U$82),21,FALSE())</f>
        <v>90</v>
      </c>
      <c r="U88" s="321"/>
      <c r="V88" s="321" t="n">
        <f aca="false">COUNTIF(V23:V82,T89)</f>
        <v>1</v>
      </c>
    </row>
    <row r="89" customFormat="false" ht="12.75" hidden="true" customHeight="false" outlineLevel="0" collapsed="false">
      <c r="C89" s="575"/>
      <c r="D89" s="575"/>
      <c r="E89" s="575"/>
      <c r="R89" s="321" t="s">
        <v>3623</v>
      </c>
      <c r="S89" s="321"/>
      <c r="T89" s="577" t="n">
        <f aca="false">MAX($V$23:$V$82)</f>
        <v>6</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14.64</v>
      </c>
      <c r="U90" s="321" t="n">
        <f aca="false">IF(ISERROR(T90),0,1)</f>
        <v>1</v>
      </c>
    </row>
    <row r="91" customFormat="false" ht="12.75" hidden="true" customHeight="false" outlineLevel="0" collapsed="false">
      <c r="C91" s="575"/>
      <c r="D91" s="575"/>
      <c r="E91" s="575"/>
      <c r="R91" s="526" t="s">
        <v>3626</v>
      </c>
      <c r="S91" s="526"/>
      <c r="T91" s="526" t="str">
        <f aca="false">INDEX('liste reference'!$A$6:$A$1245,$U$91)</f>
        <v>BRARIV</v>
      </c>
      <c r="U91" s="321" t="n">
        <f aca="false">IF(ISERROR(MATCH($T$93,'liste reference'!$A$6:$A$1245,0)),MATCH($T$93,'liste reference'!$B$6:$B$1245,0),(MATCH($T$93,'liste reference'!$A$6:$A$1245,0)))</f>
        <v>222</v>
      </c>
      <c r="V91" s="579"/>
    </row>
    <row r="92" customFormat="false" ht="12.75" hidden="true" customHeight="false" outlineLevel="0" collapsed="false">
      <c r="C92" s="575"/>
      <c r="D92" s="575"/>
      <c r="E92" s="575"/>
      <c r="R92" s="321" t="s">
        <v>3627</v>
      </c>
      <c r="S92" s="321"/>
      <c r="T92" s="321" t="n">
        <f aca="false">MATCH(T89,$V$23:$V$82,0)</f>
        <v>8</v>
      </c>
      <c r="U92" s="321"/>
    </row>
    <row r="93" customFormat="false" ht="12.75" hidden="true" customHeight="false" outlineLevel="0" collapsed="false">
      <c r="C93" s="575"/>
      <c r="D93" s="575"/>
      <c r="E93" s="575"/>
      <c r="R93" s="526" t="s">
        <v>3628</v>
      </c>
      <c r="S93" s="321"/>
      <c r="T93" s="526" t="str">
        <f aca="false">INDEX($A$23:$A$82,$T$92)</f>
        <v>BRARIV</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3640</v>
      </c>
      <c r="B1" s="582"/>
      <c r="C1" s="582"/>
      <c r="D1" s="582"/>
      <c r="E1" s="583" t="s">
        <v>3641</v>
      </c>
      <c r="F1" s="584" t="s">
        <v>3642</v>
      </c>
      <c r="G1" s="585"/>
    </row>
    <row r="2" customFormat="false" ht="15" hidden="false" customHeight="false" outlineLevel="0" collapsed="false">
      <c r="A2" s="586" t="s">
        <v>3643</v>
      </c>
      <c r="B2" s="587"/>
      <c r="C2" s="588"/>
      <c r="D2" s="588"/>
      <c r="E2" s="583"/>
      <c r="F2" s="584" t="s">
        <v>3644</v>
      </c>
      <c r="G2" s="585"/>
    </row>
    <row r="3" customFormat="false" ht="15.75" hidden="false" customHeight="false" outlineLevel="0" collapsed="false">
      <c r="A3" s="586" t="s">
        <v>3645</v>
      </c>
      <c r="B3" s="587"/>
      <c r="C3" s="588"/>
      <c r="D3" s="589" t="s">
        <v>3646</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3647</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3648</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3649</v>
      </c>
      <c r="G17" s="608"/>
      <c r="H17" s="609" t="s">
        <v>3650</v>
      </c>
      <c r="I17" s="608"/>
    </row>
    <row r="18" customFormat="false" ht="15" hidden="false" customHeight="false" outlineLevel="0" collapsed="false">
      <c r="A18" s="601"/>
      <c r="B18" s="604" t="s">
        <v>3133</v>
      </c>
      <c r="C18" s="605"/>
      <c r="D18" s="606"/>
      <c r="F18" s="610" t="s">
        <v>3651</v>
      </c>
      <c r="G18" s="611"/>
      <c r="H18" s="610" t="s">
        <v>3651</v>
      </c>
      <c r="I18" s="612"/>
    </row>
    <row r="19" customFormat="false" ht="15" hidden="false" customHeight="false" outlineLevel="0" collapsed="false">
      <c r="A19" s="601"/>
      <c r="B19" s="604" t="s">
        <v>3135</v>
      </c>
      <c r="C19" s="605"/>
      <c r="D19" s="606"/>
      <c r="F19" s="613" t="s">
        <v>3652</v>
      </c>
      <c r="G19" s="8"/>
      <c r="H19" s="613" t="s">
        <v>3652</v>
      </c>
      <c r="I19" s="614"/>
    </row>
    <row r="20" customFormat="false" ht="15" hidden="false" customHeight="false" outlineLevel="0" collapsed="false">
      <c r="A20" s="601"/>
      <c r="B20" s="604" t="s">
        <v>3139</v>
      </c>
      <c r="C20" s="605"/>
      <c r="D20" s="606"/>
      <c r="F20" s="613" t="s">
        <v>3635</v>
      </c>
      <c r="G20" s="8"/>
      <c r="H20" s="613" t="s">
        <v>3635</v>
      </c>
      <c r="I20" s="614"/>
    </row>
    <row r="21" customFormat="false" ht="15" hidden="false" customHeight="false" outlineLevel="0" collapsed="false">
      <c r="A21" s="601"/>
      <c r="B21" s="604" t="s">
        <v>2477</v>
      </c>
      <c r="C21" s="605"/>
      <c r="D21" s="606"/>
      <c r="F21" s="613" t="s">
        <v>3653</v>
      </c>
      <c r="G21" s="8"/>
      <c r="H21" s="613" t="s">
        <v>3653</v>
      </c>
      <c r="I21" s="614"/>
    </row>
    <row r="22" customFormat="false" ht="15" hidden="false" customHeight="false" outlineLevel="0" collapsed="false">
      <c r="A22" s="601"/>
      <c r="B22" s="604" t="s">
        <v>3141</v>
      </c>
      <c r="C22" s="605"/>
      <c r="D22" s="606"/>
      <c r="F22" s="613" t="s">
        <v>3654</v>
      </c>
      <c r="G22" s="8"/>
      <c r="H22" s="613" t="s">
        <v>3654</v>
      </c>
      <c r="I22" s="614"/>
    </row>
    <row r="23" customFormat="false" ht="15" hidden="false" customHeight="false" outlineLevel="0" collapsed="false">
      <c r="A23" s="601"/>
      <c r="B23" s="604" t="s">
        <v>2051</v>
      </c>
      <c r="C23" s="605"/>
      <c r="D23" s="606"/>
      <c r="F23" s="613" t="s">
        <v>3655</v>
      </c>
      <c r="G23" s="8"/>
      <c r="H23" s="613" t="s">
        <v>3655</v>
      </c>
      <c r="I23" s="614"/>
    </row>
    <row r="24" customFormat="false" ht="15" hidden="false" customHeight="false" outlineLevel="0" collapsed="false">
      <c r="A24" s="601"/>
      <c r="B24" s="604" t="s">
        <v>3143</v>
      </c>
      <c r="C24" s="605"/>
      <c r="D24" s="606"/>
      <c r="F24" s="613" t="s">
        <v>3656</v>
      </c>
      <c r="G24" s="8"/>
      <c r="H24" s="613" t="s">
        <v>3656</v>
      </c>
      <c r="I24" s="614"/>
    </row>
    <row r="25" customFormat="false" ht="15" hidden="false" customHeight="false" outlineLevel="0" collapsed="false">
      <c r="A25" s="601"/>
      <c r="B25" s="604" t="s">
        <v>1385</v>
      </c>
      <c r="C25" s="605"/>
      <c r="D25" s="606"/>
      <c r="F25" s="613" t="s">
        <v>3636</v>
      </c>
      <c r="G25" s="8"/>
      <c r="H25" s="613" t="s">
        <v>3636</v>
      </c>
      <c r="I25" s="614"/>
    </row>
    <row r="26" customFormat="false" ht="15" hidden="false" customHeight="false" outlineLevel="0" collapsed="false">
      <c r="A26" s="601"/>
      <c r="B26" s="604" t="s">
        <v>1388</v>
      </c>
      <c r="C26" s="605"/>
      <c r="D26" s="606"/>
      <c r="F26" s="613" t="s">
        <v>3657</v>
      </c>
      <c r="G26" s="8"/>
      <c r="H26" s="613" t="s">
        <v>3657</v>
      </c>
      <c r="I26" s="614"/>
    </row>
    <row r="27" customFormat="false" ht="15" hidden="false" customHeight="false" outlineLevel="0" collapsed="false">
      <c r="A27" s="601"/>
      <c r="B27" s="604" t="s">
        <v>1393</v>
      </c>
      <c r="C27" s="605"/>
      <c r="D27" s="606"/>
      <c r="F27" s="615" t="s">
        <v>3658</v>
      </c>
      <c r="G27" s="616"/>
      <c r="H27" s="615" t="s">
        <v>3658</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3659</v>
      </c>
    </row>
    <row r="31" customFormat="false" ht="15" hidden="false" customHeight="false" outlineLevel="0" collapsed="false">
      <c r="A31" s="601"/>
      <c r="B31" s="604" t="s">
        <v>2482</v>
      </c>
      <c r="C31" s="605"/>
      <c r="D31" s="606"/>
      <c r="F31" s="619" t="s">
        <v>3639</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3660</v>
      </c>
    </row>
    <row r="37" customFormat="false" ht="15" hidden="false" customHeight="false" outlineLevel="0" collapsed="false">
      <c r="A37" s="601"/>
      <c r="B37" s="604" t="s">
        <v>3149</v>
      </c>
      <c r="C37" s="605"/>
      <c r="D37" s="606"/>
      <c r="F37" s="619" t="s">
        <v>3661</v>
      </c>
    </row>
    <row r="38" customFormat="false" ht="15" hidden="false" customHeight="false" outlineLevel="0" collapsed="false">
      <c r="A38" s="601"/>
      <c r="B38" s="604" t="s">
        <v>3151</v>
      </c>
      <c r="C38" s="605"/>
      <c r="D38" s="606"/>
      <c r="F38" s="621" t="s">
        <v>3638</v>
      </c>
    </row>
    <row r="39" customFormat="false" ht="15" hidden="false" customHeight="false" outlineLevel="0" collapsed="false">
      <c r="A39" s="601"/>
      <c r="B39" s="604" t="s">
        <v>3153</v>
      </c>
      <c r="C39" s="605"/>
      <c r="D39" s="606"/>
      <c r="F39" s="621" t="s">
        <v>3662</v>
      </c>
    </row>
    <row r="40" customFormat="false" ht="15" hidden="false" customHeight="false" outlineLevel="0" collapsed="false">
      <c r="A40" s="601"/>
      <c r="B40" s="604" t="s">
        <v>663</v>
      </c>
      <c r="C40" s="605"/>
      <c r="D40" s="606"/>
      <c r="F40" s="621" t="s">
        <v>3663</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2015-05-11T09:56:30Z</dcterms:modified>
  <cp:revision>0</cp:revision>
  <dc:subject/>
  <dc:title>Feuille d'aide au calcul de l'IBMR</dc:title>
</cp:coreProperties>
</file>