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Boulzane à Montfort_B" sheetId="8" state="visible" r:id="rId10"/>
    <sheet name="liste codes réf" sheetId="9" state="hidden" r:id="rId11"/>
  </sheets>
  <definedNames>
    <definedName function="false" hidden="false" localSheetId="7" name="_xlnm.Print_Area" vbProcedure="false">'Boulzane à Montfort_B'!$A$1:$Q$82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'Boulzane à Montfort_B'!$A$1:$C$1415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<sst xmlns="http://schemas.openxmlformats.org/spreadsheetml/2006/main" count="9279" uniqueCount="3665">
  <si>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</si>
  <si>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</si>
  <si>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</si>
  <si>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</si>
  <si>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</si>
  <si>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</si>
  <si>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</si>
  <si>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</si>
  <si>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</si>
  <si>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</si>
  <si>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</si>
  <si>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</si>
  <si>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</si>
  <si>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</si>
  <si>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</si>
  <si>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</si>
  <si>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</si>
  <si>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</si>
  <si>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</si>
  <si>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</si>
  <si>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</si>
  <si>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</si>
  <si>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</si>
  <si>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</si>
  <si>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</si>
  <si>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</si>
  <si>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</si>
  <si>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</si>
  <si>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</si>
  <si>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</si>
  <si>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</si>
  <si>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</si>
  <si>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</si>
  <si>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</si>
  <si>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</si>
  <si>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</si>
  <si>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</si>
  <si>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</si>
  <si>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</si>
  <si>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</si>
  <si>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</si>
  <si>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</si>
  <si>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</si>
  <si>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</si>
  <si>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</si>
  <si>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</si>
  <si>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</si>
  <si>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</si>
  <si>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</si>
  <si>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</si>
  <si>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</si>
  <si>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</si>
  <si>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</si>
  <si>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</si>
  <si>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</si>
  <si>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</si>
  <si>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</si>
  <si>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</si>
  <si>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</si>
  <si>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</si>
  <si>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</si>
  <si>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</si>
  <si>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</si>
  <si>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</si>
  <si>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</si>
  <si>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</si>
  <si>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</si>
  <si>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</si>
  <si>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</si>
  <si>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</si>
  <si>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</si>
  <si>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</si>
  <si>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</si>
  <si>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</si>
  <si>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</si>
  <si>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</si>
  <si>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</si>
  <si>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</si>
  <si>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</si>
  <si>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</si>
  <si>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</si>
  <si>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</si>
  <si>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</si>
  <si>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</si>
  <si>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</si>
  <si>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</si>
  <si>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</si>
  <si>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</si>
  <si>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</si>
  <si>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</si>
  <si>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</si>
  <si>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</si>
  <si>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</si>
  <si>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</si>
  <si>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</si>
  <si>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</si>
  <si>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</si>
  <si>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</si>
  <si>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</si>
  <si>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</si>
  <si>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</si>
  <si>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</si>
  <si>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</si>
  <si>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</si>
  <si>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</si>
  <si>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</si>
  <si>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</si>
  <si>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</si>
  <si>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</si>
  <si>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</si>
  <si>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</si>
  <si>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</si>
  <si>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</si>
  <si>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</si>
  <si>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</si>
  <si>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</si>
  <si>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</si>
  <si>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</si>
  <si>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</si>
  <si>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</si>
  <si>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</si>
  <si>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</si>
  <si>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</si>
  <si>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</si>
  <si>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</si>
  <si>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</si>
  <si>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</si>
  <si>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</si>
  <si>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</si>
  <si>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</si>
  <si>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</si>
  <si>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</si>
  <si>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</si>
  <si>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</si>
  <si>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</si>
  <si>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</si>
  <si>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</si>
  <si>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</si>
  <si>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</si>
  <si>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</si>
  <si>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</si>
  <si>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</si>
  <si>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</si>
  <si>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</si>
  <si>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</si>
  <si>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</si>
  <si>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</si>
  <si>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</si>
  <si>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</si>
  <si>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</si>
  <si>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</si>
  <si>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</si>
  <si>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</si>
  <si>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</si>
  <si>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</si>
  <si>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</si>
  <si>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</si>
  <si>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</si>
  <si>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</si>
  <si>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</si>
  <si>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</si>
  <si>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</si>
  <si>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</si>
  <si>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</si>
  <si>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</si>
  <si>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</si>
  <si>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</si>
  <si>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</si>
  <si>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</si>
  <si>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</si>
  <si>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</si>
  <si>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</si>
  <si>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</si>
  <si>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</si>
  <si>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</si>
  <si>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</si>
  <si>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</si>
  <si>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</si>
  <si>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</si>
  <si>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</si>
  <si>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</si>
  <si>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</si>
  <si>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</si>
  <si>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</si>
  <si>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</si>
  <si>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</si>
  <si>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</si>
  <si>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</si>
  <si>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</si>
  <si>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</si>
  <si>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</si>
  <si>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</si>
  <si>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</si>
  <si>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</si>
  <si>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</si>
  <si>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</si>
  <si>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</si>
  <si>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</si>
  <si>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</si>
  <si>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</si>
  <si>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</si>
  <si>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</si>
  <si>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</si>
  <si>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</si>
  <si>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</si>
  <si>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</si>
  <si>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</si>
  <si>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</si>
  <si>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</si>
  <si>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</si>
  <si>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</si>
  <si>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</si>
  <si>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</si>
  <si>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</si>
  <si>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</si>
  <si>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</si>
  <si>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</si>
  <si>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</si>
  <si>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</si>
  <si>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</si>
  <si>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</si>
  <si>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</si>
  <si>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</si>
  <si>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</si>
  <si>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</si>
  <si>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</si>
  <si>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</si>
  <si>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</si>
  <si>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</si>
  <si>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</si>
  <si>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</si>
  <si>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</si>
  <si>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</si>
  <si>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</si>
  <si>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</si>
  <si>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</si>
  <si>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</si>
  <si>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</si>
  <si>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</si>
  <si>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</si>
  <si>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</si>
  <si>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</si>
  <si>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</si>
  <si>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</si>
  <si>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</si>
  <si>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</si>
  <si>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</si>
  <si>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</si>
  <si>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</si>
  <si>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</si>
  <si>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</si>
  <si>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</si>
  <si>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</si>
  <si>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</si>
  <si>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</si>
  <si>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</si>
  <si>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</si>
  <si>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</si>
  <si>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</si>
  <si>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</si>
  <si>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</si>
  <si>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</si>
  <si>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</si>
  <si>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</si>
  <si>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</si>
  <si>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</si>
  <si>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</si>
  <si>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</si>
  <si>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</si>
  <si>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</si>
  <si>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</si>
  <si>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</si>
  <si>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</si>
  <si>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</si>
  <si>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</si>
  <si>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</si>
  <si>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</si>
  <si>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</si>
  <si>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</si>
  <si>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</si>
  <si>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</si>
  <si>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</si>
  <si>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</si>
  <si>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</si>
  <si>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</si>
  <si>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</si>
  <si>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</si>
  <si>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</si>
  <si>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</si>
  <si>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</si>
  <si>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</si>
  <si>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</si>
  <si>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</si>
  <si>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</si>
  <si>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</si>
  <si>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</si>
  <si>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</si>
  <si>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</si>
  <si>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</si>
  <si>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</si>
  <si>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</si>
  <si>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</si>
  <si>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</si>
  <si>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</si>
  <si>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</si>
  <si>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</si>
  <si>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</si>
  <si>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</si>
  <si>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</si>
  <si>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</si>
  <si>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</si>
  <si>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</si>
  <si>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</si>
  <si>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</si>
  <si>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</si>
  <si>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</si>
  <si>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</si>
  <si>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</si>
  <si>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</si>
  <si>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</si>
  <si>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</si>
  <si>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</si>
  <si>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</si>
  <si>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</si>
  <si>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</si>
  <si>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</si>
  <si>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</si>
  <si>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</si>
  <si>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</si>
  <si>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</si>
  <si>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</si>
  <si>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</si>
  <si>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</si>
  <si>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</si>
  <si>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</si>
  <si>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</si>
  <si>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</si>
  <si>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</si>
  <si>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</si>
  <si>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</si>
  <si>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</si>
  <si>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</si>
  <si>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</si>
  <si>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</si>
  <si>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</si>
  <si>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</si>
  <si>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</si>
  <si>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</si>
  <si>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</si>
  <si>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</si>
  <si>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</si>
  <si>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</si>
  <si>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</si>
  <si>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</si>
  <si>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</si>
  <si>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</si>
  <si>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</si>
  <si>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</si>
  <si>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</si>
  <si>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</si>
  <si>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</si>
  <si>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</si>
  <si>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</si>
  <si>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</si>
  <si>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</si>
  <si>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</si>
  <si>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</si>
  <si>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</si>
  <si>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</si>
  <si>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</si>
  <si>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</si>
  <si>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</si>
  <si>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</si>
  <si>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</si>
  <si>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</si>
  <si>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</si>
  <si>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</si>
  <si>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</si>
  <si>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</si>
  <si>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</si>
  <si>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</si>
  <si>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</si>
  <si>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</si>
  <si>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</si>
  <si>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</si>
  <si>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</si>
  <si>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</si>
  <si>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</si>
  <si>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</si>
  <si>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</si>
  <si>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</si>
  <si>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</si>
  <si>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</si>
  <si>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</si>
  <si>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</si>
  <si>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</si>
  <si>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</si>
  <si>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</si>
  <si>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</si>
  <si>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</si>
  <si>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</si>
  <si>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</si>
  <si>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</si>
  <si>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</si>
  <si>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</si>
  <si>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</si>
  <si>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</si>
  <si>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</si>
  <si>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</si>
  <si>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</si>
  <si>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</si>
  <si>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</si>
  <si>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</si>
  <si>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</si>
  <si>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</si>
  <si>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</si>
  <si>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</si>
  <si>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</si>
  <si>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</si>
  <si>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</si>
  <si>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</si>
  <si>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</si>
  <si>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</si>
  <si>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</si>
  <si>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</si>
  <si>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</si>
  <si>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</si>
  <si>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</si>
  <si>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</si>
  <si>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</si>
  <si>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</si>
  <si>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</si>
  <si>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</si>
  <si>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</si>
  <si>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</si>
  <si>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</si>
  <si>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</si>
  <si>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</si>
  <si>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</si>
  <si>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</si>
  <si>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</si>
  <si>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</si>
  <si>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</si>
  <si>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</si>
  <si>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</si>
  <si>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</si>
  <si>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</si>
  <si>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</si>
  <si>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</si>
  <si>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</si>
  <si>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</si>
  <si>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</si>
  <si>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</si>
  <si>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</si>
  <si>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</si>
  <si>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</si>
  <si>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</si>
  <si>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</si>
  <si>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</si>
  <si>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</si>
  <si>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</si>
  <si>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</si>
  <si>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</si>
  <si>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</si>
  <si>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</si>
  <si>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</si>
  <si>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</si>
  <si>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</si>
  <si>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</si>
  <si>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</si>
  <si>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</si>
  <si>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</si>
  <si>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</si>
  <si>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</si>
  <si>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</si>
  <si>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</si>
  <si>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</si>
  <si>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</si>
  <si>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</si>
  <si>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</si>
  <si>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</si>
  <si>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</si>
  <si>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</si>
  <si>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</si>
  <si>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</si>
  <si>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</si>
  <si>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</si>
  <si>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</si>
  <si>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</si>
  <si>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</si>
  <si>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</si>
  <si>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</si>
  <si>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</si>
  <si>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</si>
  <si>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</si>
  <si>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</si>
  <si>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</si>
  <si>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</si>
  <si>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</si>
  <si>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</si>
  <si>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</si>
  <si>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</si>
  <si>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</si>
  <si>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</si>
  <si>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</si>
  <si>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</si>
  <si>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</si>
  <si>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</si>
  <si>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</si>
  <si>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</si>
  <si>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</si>
  <si>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</si>
  <si>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</si>
  <si>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</si>
  <si>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</si>
  <si>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</si>
  <si>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</si>
  <si>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</si>
  <si>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</si>
  <si>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</si>
  <si>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</si>
  <si>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</si>
  <si>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</si>
  <si>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</si>
  <si>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</si>
  <si>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</si>
  <si>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</si>
  <si>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</si>
  <si>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</si>
  <si>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</si>
  <si>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</si>
  <si>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</si>
  <si>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</si>
  <si>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</si>
  <si>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</si>
  <si>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</si>
  <si>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</si>
  <si>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</si>
  <si>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</si>
  <si>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</si>
  <si>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</si>
  <si>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</si>
  <si>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</si>
  <si>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</si>
  <si>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</si>
  <si>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</si>
  <si>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</si>
  <si>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</si>
  <si>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</si>
  <si>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</si>
  <si>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</si>
  <si>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</si>
  <si>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</si>
  <si>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</si>
  <si>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</si>
  <si>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</si>
  <si>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</si>
  <si>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</si>
  <si>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</si>
  <si>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</si>
  <si>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</si>
  <si>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</si>
  <si>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</si>
  <si>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</si>
  <si>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</si>
  <si>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</si>
  <si>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</si>
  <si>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</si>
  <si>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</si>
  <si>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</si>
  <si>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</si>
  <si>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</si>
  <si>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</si>
  <si>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</si>
  <si>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</si>
  <si>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</si>
  <si>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</si>
  <si>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</si>
  <si>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</si>
  <si>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</si>
  <si>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</si>
  <si>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</si>
  <si>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</si>
  <si>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</si>
  <si>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</si>
  <si>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</si>
  <si>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</si>
  <si>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</si>
  <si>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</si>
  <si>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</si>
  <si>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</si>
  <si>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</si>
  <si>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</si>
  <si>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</si>
  <si>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</si>
  <si>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</si>
  <si>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</si>
  <si>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</si>
  <si>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</si>
  <si>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</si>
  <si>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</si>
  <si>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</si>
  <si>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</si>
  <si>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</si>
  <si>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</si>
  <si>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</si>
  <si>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</si>
  <si>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</si>
  <si>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</si>
  <si>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</si>
  <si>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</si>
  <si>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</si>
  <si>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</si>
  <si>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</si>
  <si>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</si>
  <si>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</si>
  <si>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</si>
  <si>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</si>
  <si>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</si>
  <si>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</si>
  <si>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</si>
  <si>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</si>
  <si>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</si>
  <si>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</si>
  <si>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</si>
  <si>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</si>
  <si>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</si>
  <si>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</si>
  <si>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</si>
  <si>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</si>
  <si>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</si>
  <si>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</si>
  <si>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</si>
  <si>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</si>
  <si>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</si>
  <si>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</si>
  <si>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</si>
  <si>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</si>
  <si>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</si>
  <si>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</si>
  <si>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</si>
  <si>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</si>
  <si>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</si>
  <si>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</si>
  <si>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</si>
  <si>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</si>
  <si>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</si>
  <si>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</si>
  <si>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</si>
  <si>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</si>
  <si>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</si>
  <si>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</si>
  <si>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</si>
  <si>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</si>
  <si>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</si>
  <si>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</si>
  <si>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</si>
  <si>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</si>
  <si>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</si>
  <si>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</si>
  <si>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</si>
  <si>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</si>
  <si>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</si>
  <si>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</si>
  <si>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</si>
  <si>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</si>
  <si>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</si>
  <si>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</si>
  <si>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</si>
  <si>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</si>
  <si>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</si>
  <si>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</si>
  <si>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</si>
  <si>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</si>
  <si>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</si>
  <si>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</si>
  <si>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</si>
  <si>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</si>
  <si>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</si>
  <si>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</si>
  <si>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</si>
  <si>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</si>
  <si>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</si>
  <si>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</si>
  <si>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</si>
  <si>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</si>
  <si>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</si>
  <si>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</si>
  <si>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</si>
  <si>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</si>
  <si>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</si>
  <si>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</si>
  <si>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</si>
  <si>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</si>
  <si>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</si>
  <si>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</si>
  <si>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</si>
  <si>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</si>
  <si>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</si>
  <si>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</si>
  <si>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</si>
  <si>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</si>
  <si>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</si>
  <si>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</si>
  <si>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</si>
  <si>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</si>
  <si>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</si>
  <si>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</si>
  <si>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</si>
  <si>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</si>
  <si>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</si>
  <si>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</si>
  <si>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</si>
  <si>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</si>
  <si>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</si>
  <si>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</si>
  <si>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</si>
  <si>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</si>
  <si>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</si>
  <si>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</si>
  <si>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</si>
  <si>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</si>
  <si>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</si>
  <si>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</si>
  <si>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</si>
  <si>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</si>
  <si>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</si>
  <si>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</si>
  <si>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</si>
  <si>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</si>
  <si>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</si>
  <si>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</si>
  <si>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</si>
  <si>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</si>
  <si>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</si>
  <si>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</si>
  <si>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</si>
  <si>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</si>
  <si>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</si>
  <si>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</si>
  <si>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</si>
  <si>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</si>
  <si>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</si>
  <si>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</si>
  <si>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</si>
  <si>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</si>
  <si>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</si>
  <si>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</si>
  <si>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</si>
  <si>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</si>
  <si>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</si>
  <si>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</si>
  <si>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</si>
  <si>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</si>
  <si>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</si>
  <si>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</si>
  <si>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</si>
  <si>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</si>
  <si>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</si>
  <si>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</si>
  <si>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</si>
  <si>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</si>
  <si>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</si>
  <si>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</si>
  <si>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</si>
  <si>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</si>
  <si>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</si>
  <si>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</si>
  <si>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</si>
  <si>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</si>
  <si>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</si>
  <si>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</si>
  <si>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</si>
  <si>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</si>
  <si>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</si>
  <si>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</si>
  <si>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</si>
  <si>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</si>
  <si>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</si>
  <si>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</si>
  <si>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</si>
  <si>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</si>
  <si>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</si>
  <si>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</si>
  <si>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</si>
  <si>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</si>
  <si>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</si>
  <si>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</si>
  <si>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</si>
  <si>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</si>
  <si>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</si>
  <si>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</si>
  <si>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</si>
  <si>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</si>
  <si>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</si>
  <si>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</si>
  <si>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</si>
  <si>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</si>
  <si>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</si>
  <si>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</si>
  <si>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</si>
  <si>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</si>
  <si>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</si>
  <si>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</si>
  <si>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</si>
  <si>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</si>
  <si>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</si>
  <si>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</si>
  <si>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</si>
  <si>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</si>
  <si>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</si>
  <si>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</si>
  <si>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</si>
  <si>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</si>
  <si>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</si>
  <si>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</si>
  <si>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</si>
  <si>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</si>
  <si>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</si>
  <si>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</si>
  <si>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</si>
  <si>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</si>
  <si>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</si>
  <si>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</si>
  <si>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</si>
  <si>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</si>
  <si>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</si>
  <si>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</si>
  <si>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</si>
  <si>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</si>
  <si>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</si>
  <si>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</si>
  <si>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</si>
  <si>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</si>
  <si>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</si>
  <si>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</si>
  <si>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</si>
  <si>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</si>
  <si>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</si>
  <si>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</si>
  <si>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</si>
  <si>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</si>
  <si>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</si>
  <si>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</si>
  <si>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</si>
  <si>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</si>
  <si>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</si>
  <si>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</si>
  <si>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</si>
  <si>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</si>
  <si>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</si>
  <si>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</si>
  <si>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</si>
  <si>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</si>
  <si>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</si>
  <si>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</si>
  <si>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</si>
  <si>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</si>
  <si>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</si>
  <si>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</si>
  <si>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</si>
  <si>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</si>
  <si>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</si>
  <si>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</si>
  <si>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</si>
  <si>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</si>
  <si>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</si>
  <si>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</si>
  <si>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</si>
  <si>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</si>
  <si>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</si>
  <si>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</si>
  <si>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</si>
  <si>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</si>
  <si>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</si>
  <si>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</si>
  <si>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</si>
  <si>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</si>
  <si>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</si>
  <si>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</si>
  <si>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</si>
  <si>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</si>
  <si>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</si>
  <si>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</si>
  <si>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</si>
  <si>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</si>
  <si>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</si>
  <si>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</si>
  <si>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</si>
  <si>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</si>
  <si>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</si>
  <si>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</si>
  <si>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</si>
  <si>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</si>
  <si>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</si>
  <si>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</si>
  <si>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</si>
  <si>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</si>
  <si>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</si>
  <si>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</si>
  <si>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</si>
  <si>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</si>
  <si>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</si>
  <si>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</si>
  <si>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</si>
  <si>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</si>
  <si>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</si>
  <si>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</si>
  <si>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</si>
  <si>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</si>
  <si>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</si>
  <si>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</si>
  <si>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</si>
  <si>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</si>
  <si>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</si>
  <si>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</si>
  <si>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</si>
  <si>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</si>
  <si>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</si>
  <si>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</si>
  <si>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</si>
  <si>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</si>
  <si>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</si>
  <si>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</si>
  <si>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</si>
  <si>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</si>
  <si>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</si>
  <si>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</si>
  <si>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</si>
  <si>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</si>
  <si>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</si>
  <si>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</si>
  <si>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</si>
  <si>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</si>
  <si>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</si>
  <si>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</si>
  <si>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</si>
  <si>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</si>
  <si>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</si>
  <si>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</si>
  <si>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</si>
  <si>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</si>
  <si>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</si>
  <si>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</si>
  <si>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</si>
  <si>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</si>
  <si>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</si>
  <si>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</si>
  <si>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</si>
  <si>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</si>
  <si>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</si>
  <si>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</si>
  <si>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</si>
  <si>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</si>
  <si>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</si>
  <si>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</si>
  <si>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</si>
  <si>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</si>
  <si>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</si>
  <si>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</si>
  <si>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</si>
  <si>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</si>
  <si>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</si>
  <si>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</si>
  <si>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</si>
  <si>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</si>
  <si>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</si>
  <si>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</si>
  <si>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</si>
  <si>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</si>
  <si>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</si>
  <si>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</si>
  <si>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</si>
  <si>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</si>
  <si>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</si>
  <si>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</si>
  <si>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</si>
  <si>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</si>
  <si>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</si>
  <si>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</si>
  <si>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</si>
  <si>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</si>
  <si>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</si>
  <si>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</si>
  <si>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</si>
  <si>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</si>
  <si>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</si>
  <si>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</si>
  <si>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</si>
  <si>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</si>
  <si>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</si>
  <si>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</si>
  <si>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</si>
  <si>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</si>
  <si>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</si>
  <si>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</si>
  <si>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</si>
  <si>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</si>
  <si>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</si>
  <si>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</si>
  <si>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</si>
  <si>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</si>
  <si>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</si>
  <si>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</si>
  <si>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</si>
  <si>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</si>
  <si>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</si>
  <si>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</si>
  <si>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</si>
  <si>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</si>
  <si>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</si>
  <si>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</si>
  <si>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</si>
  <si>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</si>
  <si>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</si>
  <si>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</si>
  <si>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</si>
  <si>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</si>
  <si>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</si>
  <si>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</si>
  <si>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</si>
  <si>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</si>
  <si>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</si>
  <si>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</si>
  <si>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</si>
  <si>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</si>
  <si>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</si>
  <si>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</si>
  <si>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</si>
  <si>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</si>
  <si>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</si>
  <si>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</si>
  <si>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</si>
  <si>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</si>
  <si>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</si>
  <si>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</si>
  <si>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</si>
  <si>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</si>
  <si>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</si>
  <si>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</si>
  <si>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</si>
  <si>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</si>
  <si>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</si>
  <si>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</si>
  <si>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</si>
  <si>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</si>
  <si>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</si>
  <si>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</si>
  <si>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</si>
  <si>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</si>
  <si>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</si>
  <si>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</si>
  <si>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</si>
  <si>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</si>
  <si>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</si>
  <si>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</si>
  <si>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</si>
  <si>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</si>
  <si>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</si>
  <si>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</si>
  <si>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</si>
  <si>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</si>
  <si>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</si>
  <si>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</si>
  <si>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</si>
  <si>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</si>
  <si>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</si>
  <si>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</si>
  <si>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</si>
  <si>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</si>
  <si>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</si>
  <si>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</si>
  <si>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</si>
  <si>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</si>
  <si>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</si>
  <si>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</si>
  <si>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</si>
  <si>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</si>
  <si>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</si>
  <si>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</si>
  <si>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</si>
  <si>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</si>
  <si>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</si>
  <si>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</si>
  <si>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</si>
  <si>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</si>
  <si>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</si>
  <si>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</si>
  <si>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</si>
  <si>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</si>
  <si>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</si>
  <si>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</si>
  <si>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</si>
  <si>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</si>
  <si>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</si>
  <si>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</si>
  <si>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</si>
  <si>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</si>
  <si>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</si>
  <si>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</si>
  <si>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</si>
  <si>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</si>
  <si>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</si>
  <si>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</si>
  <si>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</si>
  <si>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</si>
  <si>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</si>
  <si>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</si>
  <si>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</si>
  <si>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</si>
  <si>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</si>
  <si>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</si>
  <si>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</si>
  <si>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</si>
  <si>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</si>
  <si>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</si>
  <si>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</si>
  <si>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</si>
  <si>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</si>
  <si>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</si>
  <si>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</si>
  <si>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</si>
  <si>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</si>
  <si>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</si>
  <si>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</si>
  <si>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</si>
  <si>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</si>
  <si>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</si>
  <si>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</si>
  <si>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</si>
  <si>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</si>
  <si>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</si>
  <si>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</si>
  <si>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</si>
  <si>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</si>
  <si>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</si>
  <si>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</si>
  <si>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</si>
  <si>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</si>
  <si>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</si>
  <si>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</si>
  <si>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</si>
  <si>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</si>
  <si>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</si>
  <si>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</si>
  <si>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</si>
  <si>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</si>
  <si>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</si>
  <si>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</si>
  <si>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</si>
  <si>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</si>
  <si>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</si>
  <si>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</si>
  <si>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</si>
  <si>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</si>
  <si>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</si>
  <si>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</si>
  <si>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</si>
  <si>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</si>
  <si>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</si>
  <si>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</si>
  <si>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</si>
  <si>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</si>
  <si>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</si>
  <si>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</si>
  <si>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</si>
  <si>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</si>
  <si>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</si>
  <si>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</si>
  <si>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</si>
  <si>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</si>
  <si>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</si>
  <si>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</si>
  <si>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</si>
  <si>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</si>
  <si>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</si>
  <si>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</si>
  <si>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</si>
  <si>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</si>
  <si>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</si>
  <si>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</si>
  <si>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</si>
  <si>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</si>
  <si>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</si>
  <si>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</si>
  <si>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</si>
  <si>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</si>
  <si>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</si>
  <si>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</si>
  <si>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</si>
  <si>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</si>
  <si>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</si>
  <si>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</si>
  <si>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</si>
  <si>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</si>
  <si>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</si>
  <si>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</si>
  <si>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</si>
  <si>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</si>
  <si>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</si>
  <si>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</si>
  <si>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</si>
  <si>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</si>
  <si>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</si>
  <si>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</si>
  <si>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</si>
  <si>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</si>
  <si>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</si>
  <si>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</si>
  <si>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</si>
  <si>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</si>
  <si>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</si>
  <si>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</si>
  <si>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</si>
  <si>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</si>
  <si>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</si>
  <si>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</si>
  <si>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</si>
  <si>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</si>
  <si>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</si>
  <si>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</si>
  <si>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</si>
  <si>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</si>
  <si>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</si>
  <si>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</si>
  <si>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</si>
  <si>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</si>
  <si>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</si>
  <si>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</si>
  <si>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</si>
  <si>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</si>
  <si>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</si>
  <si>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</si>
  <si>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</si>
  <si>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</si>
  <si>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</si>
  <si>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</si>
  <si>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</si>
  <si>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</si>
  <si>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</si>
  <si>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</si>
  <si>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</si>
  <si>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</si>
  <si>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</si>
  <si>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</si>
  <si>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</si>
  <si>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</si>
  <si>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</si>
  <si>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</si>
  <si>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</si>
  <si>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</si>
  <si>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</si>
  <si>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</si>
  <si>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</si>
  <si>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</si>
  <si>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</si>
  <si>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</si>
  <si>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</si>
  <si>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</si>
  <si>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</si>
  <si>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</si>
  <si>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</si>
  <si>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</si>
  <si>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</si>
  <si>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</si>
  <si>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</si>
  <si>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</si>
  <si>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</si>
  <si>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</si>
  <si>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</si>
  <si>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</si>
  <si>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</si>
  <si>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</si>
  <si>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</si>
  <si>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</si>
  <si>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</si>
  <si>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</si>
  <si>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</si>
  <si>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</si>
  <si>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</si>
  <si>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</si>
  <si>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</si>
  <si>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</si>
  <si>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</si>
  <si>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</si>
  <si>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</si>
  <si>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</si>
  <si>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</si>
  <si>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</si>
  <si>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</si>
  <si>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</si>
  <si>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</si>
  <si>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</si>
  <si>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</si>
  <si>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</si>
  <si>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</si>
  <si>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</si>
  <si>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</si>
  <si>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</si>
  <si>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</si>
  <si>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</si>
  <si>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</si>
  <si>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</si>
  <si>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</si>
  <si>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</si>
  <si>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</si>
  <si>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</si>
  <si>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</si>
  <si>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</si>
  <si>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</si>
  <si>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</si>
  <si>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</si>
  <si>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</si>
  <si>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</si>
  <si>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</si>
  <si>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</si>
  <si>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</si>
  <si>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</si>
  <si>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</si>
  <si>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</si>
  <si>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</si>
  <si>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</si>
  <si>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</si>
  <si>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</si>
  <si>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</si>
  <si>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</si>
  <si>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</si>
  <si>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</si>
  <si>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</si>
  <si>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</si>
  <si>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</si>
  <si>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</si>
  <si>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</si>
  <si>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</si>
  <si>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</si>
  <si>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</si>
  <si>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</si>
  <si>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</si>
  <si>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</si>
  <si>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</si>
  <si>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</si>
  <si>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</si>
  <si>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</si>
  <si>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</si>
  <si>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</si>
  <si>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</si>
  <si>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</si>
  <si>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</si>
  <si>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</si>
  <si>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</si>
  <si>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</si>
  <si>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</si>
  <si>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</si>
  <si>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</si>
  <si>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</si>
  <si>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</si>
  <si>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</si>
  <si>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</si>
  <si>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</si>
  <si>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</si>
  <si>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</si>
  <si>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</si>
  <si>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</si>
  <si>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</si>
  <si>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</si>
  <si>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</si>
  <si>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</si>
  <si>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</si>
  <si>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</si>
  <si>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</si>
  <si>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</si>
  <si>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</si>
  <si>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</si>
  <si>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</si>
  <si>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</si>
  <si>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</si>
  <si>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</si>
  <si>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</si>
  <si>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</si>
  <si>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</si>
  <si>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</si>
  <si>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</si>
  <si>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</si>
  <si>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</si>
  <si>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</si>
  <si>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</si>
  <si>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</si>
  <si>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</si>
  <si>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</si>
  <si>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</si>
  <si>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</si>
  <si>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</si>
  <si>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</si>
  <si>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</si>
  <si>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</si>
  <si>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</si>
  <si>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</si>
  <si>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</si>
  <si>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</si>
  <si>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</si>
  <si>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</si>
  <si>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</si>
  <si>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</si>
  <si>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</si>
  <si>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</si>
  <si>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</si>
  <si>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</si>
  <si>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</si>
  <si>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</si>
  <si>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</si>
  <si>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</si>
  <si>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</si>
  <si>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</si>
  <si>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</si>
  <si>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</si>
  <si>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</si>
  <si>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</si>
  <si>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</si>
  <si>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</si>
  <si>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</si>
  <si>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</si>
  <si>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</si>
  <si>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</si>
  <si>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</si>
  <si>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</si>
  <si>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</si>
  <si>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</si>
  <si>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</si>
  <si>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</si>
  <si>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</si>
  <si>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</si>
  <si>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</si>
  <si>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</si>
  <si>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</si>
  <si>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</si>
  <si>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</si>
  <si>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</si>
  <si>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</si>
  <si>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</si>
  <si>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</si>
  <si>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</si>
  <si>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</si>
  <si>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</si>
  <si>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</si>
  <si>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</si>
  <si>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</si>
  <si>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</si>
  <si>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</si>
  <si>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</si>
  <si>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</si>
  <si>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</si>
  <si>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</si>
  <si>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</si>
  <si>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</si>
  <si>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</si>
  <si>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</si>
  <si>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</si>
  <si>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</si>
  <si>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</si>
  <si>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</si>
  <si>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</si>
  <si>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</si>
  <si>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</si>
  <si>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</si>
  <si>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</si>
  <si>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</si>
  <si>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</si>
  <si>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</si>
  <si>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</si>
  <si>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</si>
  <si>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</si>
  <si>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</si>
  <si>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</si>
  <si>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</si>
  <si>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</si>
  <si>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</si>
  <si>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</si>
  <si>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</si>
  <si>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</si>
  <si>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</si>
  <si>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</si>
  <si>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</si>
  <si>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</si>
  <si>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</si>
  <si>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</si>
  <si>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</si>
  <si>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</si>
  <si>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</si>
  <si>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</si>
  <si>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</si>
  <si>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</si>
  <si>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</si>
  <si>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</si>
  <si>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</si>
  <si>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</si>
  <si>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</si>
  <si>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</si>
  <si>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</si>
  <si>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</si>
  <si>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</si>
  <si>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</si>
  <si>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</si>
  <si>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</si>
  <si>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</si>
  <si>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</si>
  <si>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</si>
  <si>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</si>
  <si>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</si>
  <si>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</si>
  <si>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</si>
  <si>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</si>
  <si>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</si>
  <si>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</si>
  <si>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</si>
  <si>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</si>
  <si>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</si>
  <si>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</si>
  <si>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</si>
  <si>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</si>
  <si>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</si>
  <si>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</si>
  <si>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</si>
  <si>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</si>
  <si>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</si>
  <si>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</si>
  <si>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</si>
  <si>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</si>
  <si>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</si>
  <si>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</si>
  <si>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</si>
  <si>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</si>
  <si>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</si>
  <si>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</si>
  <si>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</si>
  <si>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</si>
  <si>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</si>
  <si>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</si>
  <si>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</si>
  <si>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</si>
  <si>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</si>
  <si>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</si>
  <si>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</si>
  <si>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</si>
  <si>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</si>
  <si>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</si>
  <si>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</si>
  <si>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</si>
  <si>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</si>
  <si>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</si>
  <si>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</si>
  <si>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</si>
  <si>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</si>
  <si>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</si>
  <si>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</si>
  <si>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</si>
  <si>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</si>
  <si>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</si>
  <si>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</si>
  <si>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</si>
  <si>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</si>
  <si>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</si>
  <si>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</si>
  <si>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</si>
  <si>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</si>
  <si>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</si>
  <si>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</si>
  <si>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</si>
  <si>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</si>
  <si>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</si>
  <si>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</si>
  <si>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</si>
  <si>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</si>
  <si>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</si>
  <si>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</si>
  <si>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</si>
  <si>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</si>
  <si>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</si>
  <si>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</si>
  <si>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</si>
  <si>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</si>
  <si>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</si>
  <si>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</si>
  <si>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</si>
  <si>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</si>
  <si>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</si>
  <si>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</si>
  <si>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</si>
  <si>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</si>
  <si>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</si>
  <si>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</si>
  <si>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</si>
  <si>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</si>
  <si>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</si>
  <si>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</si>
  <si>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</si>
  <si>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</si>
  <si>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</si>
  <si>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</si>
  <si>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</si>
  <si>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</si>
  <si>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</si>
  <si>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</si>
  <si>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</si>
  <si>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</si>
  <si>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</si>
  <si>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</si>
  <si>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</si>
  <si>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</si>
  <si>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</si>
  <si>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</si>
  <si>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</si>
  <si>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</si>
  <si>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</si>
  <si>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</si>
  <si>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</si>
  <si>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</si>
  <si>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</si>
  <si>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</si>
  <si>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</si>
  <si>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</si>
  <si>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</si>
  <si>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</si>
  <si>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</si>
  <si>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</si>
  <si>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</si>
  <si>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</si>
  <si>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</si>
  <si>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</si>
  <si>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</si>
  <si>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</si>
  <si>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</si>
  <si>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</si>
  <si>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</si>
  <si>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</si>
  <si>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</si>
  <si>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</si>
  <si>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</si>
  <si>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</si>
  <si>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</si>
  <si>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</si>
  <si>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</si>
  <si>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</si>
  <si>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</si>
  <si>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</si>
  <si>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</si>
  <si>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</si>
  <si>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</si>
  <si>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</si>
  <si>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</si>
  <si>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</si>
  <si>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</si>
  <si>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</si>
  <si>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</si>
  <si>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</si>
  <si>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</si>
  <si>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</si>
  <si>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</si>
  <si>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</si>
  <si>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</si>
  <si>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</si>
  <si>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</si>
  <si>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</si>
  <si>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</si>
  <si>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</si>
  <si>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</si>
  <si>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</si>
  <si>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</si>
  <si>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</si>
  <si>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</si>
  <si>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</si>
  <si>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</si>
  <si>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</si>
  <si>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</si>
  <si>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</si>
  <si>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</si>
  <si>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</si>
  <si>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</si>
  <si>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</si>
  <si>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</si>
  <si>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</si>
  <si>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</si>
  <si>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</si>
  <si>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</si>
  <si>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</si>
  <si>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</si>
  <si>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</si>
  <si>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</si>
  <si>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</si>
  <si>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</si>
  <si>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</si>
  <si>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</si>
  <si>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</si>
  <si>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</si>
  <si>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</si>
  <si>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</si>
  <si>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</si>
  <si>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</si>
  <si>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</si>
  <si>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</si>
  <si>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</si>
  <si>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</si>
  <si>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</si>
  <si>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</si>
  <si>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</si>
  <si>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</si>
  <si>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</si>
  <si>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</si>
  <si>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</si>
  <si>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</si>
  <si>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</si>
  <si>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</si>
  <si>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</si>
  <si>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</si>
  <si>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</si>
  <si>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</si>
  <si>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</si>
  <si>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</si>
  <si>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</si>
  <si>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</si>
  <si>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</si>
  <si>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</si>
  <si>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</si>
  <si>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</si>
  <si>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</si>
  <si>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</si>
  <si>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</si>
  <si>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</si>
  <si>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</si>
  <si>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</si>
  <si>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</si>
  <si>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</si>
  <si>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</si>
  <si>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</si>
  <si>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</si>
  <si>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</si>
  <si>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</si>
  <si>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</si>
  <si>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</si>
  <si>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</si>
  <si>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</si>
  <si>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</si>
  <si>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</si>
  <si>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</si>
  <si>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</si>
  <si>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</si>
  <si>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</si>
  <si>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</si>
  <si>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</si>
  <si>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</si>
  <si>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</si>
  <si>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</si>
  <si>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</si>
  <si>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</si>
  <si>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</si>
  <si>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</si>
  <si>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</si>
  <si>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</si>
  <si>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</si>
  <si>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</si>
  <si>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</si>
  <si>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</si>
  <si>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</si>
  <si>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</si>
  <si>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</si>
  <si>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</si>
  <si>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</si>
  <si>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</si>
  <si>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</si>
  <si>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</si>
  <si>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</si>
  <si>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</si>
  <si>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</si>
  <si>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</si>
  <si>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</si>
  <si>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</si>
  <si>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</si>
  <si>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</si>
  <si>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</si>
  <si>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</si>
  <si>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</si>
  <si>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</si>
  <si>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</si>
  <si>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</si>
  <si>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</si>
  <si>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</si>
  <si>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</si>
  <si>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</si>
  <si>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</si>
  <si>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</si>
  <si>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</si>
  <si>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</si>
  <si>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</si>
  <si>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</si>
  <si>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</si>
  <si>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</si>
  <si>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</si>
  <si>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</si>
  <si>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</si>
  <si>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</si>
  <si>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</si>
  <si>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</si>
  <si>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</si>
  <si>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</si>
  <si>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</si>
  <si>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</si>
  <si>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</si>
  <si>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</si>
  <si>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</si>
  <si>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</si>
  <si>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</si>
  <si>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</si>
  <si>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</si>
  <si>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</si>
  <si>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</si>
  <si>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</si>
  <si>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</si>
  <si>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</si>
  <si>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</si>
  <si>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</si>
  <si>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</si>
  <si>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</si>
  <si>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</si>
  <si>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</si>
  <si>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</si>
  <si>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</si>
  <si>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</si>
  <si>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</si>
  <si>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</si>
  <si>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</si>
  <si>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</si>
  <si>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</si>
  <si>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</si>
  <si>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</si>
  <si>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</si>
  <si>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</si>
  <si>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</si>
  <si>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</si>
  <si>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</si>
  <si>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</si>
  <si>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</si>
  <si>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</si>
  <si>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</si>
  <si>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</si>
  <si>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</si>
  <si>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</si>
  <si>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</si>
  <si>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</si>
  <si>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</si>
  <si>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</si>
  <si>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</si>
  <si>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</si>
  <si>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</si>
  <si>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</si>
  <si>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</si>
  <si>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</si>
  <si>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</si>
  <si>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</si>
  <si>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</si>
  <si>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</si>
  <si>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</si>
  <si>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</si>
  <si>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</si>
  <si>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</si>
  <si>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</si>
  <si>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</si>
  <si>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</si>
  <si>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</si>
  <si>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</si>
  <si>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</si>
  <si>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</si>
  <si>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</si>
  <si>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</si>
  <si>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</si>
  <si>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</si>
  <si>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</si>
  <si>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</si>
  <si>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</si>
  <si>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</si>
  <si>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</si>
  <si>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</si>
  <si>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</si>
  <si>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</si>
  <si>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</si>
  <si>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</si>
  <si>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</si>
  <si>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</si>
  <si>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</si>
  <si>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</si>
  <si>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</si>
  <si>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</si>
  <si>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</si>
  <si>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</si>
  <si>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</si>
  <si>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</si>
  <si>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</si>
  <si>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</si>
  <si>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</si>
  <si>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</si>
  <si>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</si>
  <si>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</si>
  <si>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</si>
  <si>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</si>
  <si>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</si>
  <si>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</si>
  <si>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</si>
  <si>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</si>
  <si>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</si>
  <si>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</si>
  <si>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</si>
  <si>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</si>
  <si>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</si>
  <si>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</si>
  <si>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</si>
  <si>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</si>
  <si>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</si>
  <si>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</si>
  <si>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</si>
  <si>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</si>
  <si>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</si>
  <si>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</si>
  <si>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</si>
  <si>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</si>
  <si>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</si>
  <si>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</si>
  <si>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</si>
  <si>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</si>
  <si>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</si>
  <si>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</si>
  <si>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</si>
  <si>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</si>
  <si>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</si>
  <si>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</si>
  <si>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</si>
  <si>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</si>
  <si>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</si>
  <si>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</si>
  <si>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</si>
  <si>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</si>
  <si>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</si>
  <si>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</si>
  <si>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</si>
  <si>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</si>
  <si>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</si>
  <si>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</si>
  <si>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</si>
  <si>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</si>
  <si>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</si>
  <si>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</si>
  <si>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</si>
  <si>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</si>
  <si>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</si>
  <si>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</si>
  <si>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</si>
  <si>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</si>
  <si>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</si>
  <si>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</si>
  <si>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</si>
  <si>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</si>
  <si>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</si>
  <si>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</si>
  <si>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</si>
  <si>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</si>
  <si>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</si>
  <si>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</si>
  <si>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</si>
  <si>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</si>
  <si>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</si>
  <si>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</si>
  <si>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</si>
  <si>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</si>
  <si>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</si>
  <si>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</si>
  <si>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</si>
  <si>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</si>
  <si>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</si>
  <si>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</si>
  <si>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</si>
  <si>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</si>
  <si>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</si>
  <si>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</si>
  <si>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</si>
  <si>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</si>
  <si>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</si>
  <si>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</si>
  <si>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</si>
  <si>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</si>
  <si>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</si>
  <si>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</si>
  <si>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</si>
  <si>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</si>
  <si>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</si>
  <si>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</si>
  <si>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</si>
  <si>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</si>
  <si>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</si>
  <si>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</si>
  <si>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</si>
  <si>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</si>
  <si>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</si>
  <si>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</si>
  <si>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</si>
  <si>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</si>
  <si>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</si>
  <si>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</si>
  <si>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</si>
  <si>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</si>
  <si>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</si>
  <si>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</si>
  <si>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</si>
  <si>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</si>
  <si>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</si>
  <si>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</si>
  <si>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</si>
  <si>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</si>
  <si>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</si>
  <si>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</si>
  <si>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</si>
  <si>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</si>
  <si>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</si>
  <si>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</si>
  <si>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</si>
  <si>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</si>
  <si>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</si>
  <si>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</si>
  <si>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</si>
  <si>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</si>
  <si>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</si>
  <si>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</si>
  <si>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</si>
  <si>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</si>
  <si>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</si>
  <si>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</si>
  <si>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</si>
  <si>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</si>
  <si>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</si>
  <si>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</si>
  <si>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</si>
  <si>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</si>
  <si>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</si>
  <si>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</si>
  <si>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</si>
  <si>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</si>
  <si>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</si>
  <si>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</si>
  <si>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</si>
  <si>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</si>
  <si>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</si>
  <si>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</si>
  <si>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</si>
  <si>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</si>
  <si>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</si>
  <si>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</si>
  <si>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</si>
  <si>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</si>
  <si>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</si>
  <si>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</si>
  <si>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</si>
  <si>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</si>
  <si>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</si>
  <si>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</si>
  <si>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</si>
  <si>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</si>
  <si>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</si>
  <si>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</si>
  <si>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</si>
  <si>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</si>
  <si>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</si>
  <si>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</si>
  <si>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</si>
  <si>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</si>
  <si>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</si>
  <si>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</si>
  <si>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</si>
  <si>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</si>
  <si>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</si>
  <si>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</si>
  <si>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</si>
  <si>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</si>
  <si>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</si>
  <si>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</si>
  <si>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</si>
  <si>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</si>
  <si>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</si>
  <si>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</si>
  <si>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</si>
  <si>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</si>
  <si>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</si>
  <si>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</si>
  <si>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</si>
  <si>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</si>
  <si>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</si>
  <si>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</si>
  <si>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</si>
  <si>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</si>
  <si>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</si>
  <si>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</si>
  <si>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</si>
  <si>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</si>
  <si>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</si>
  <si>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</si>
  <si>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</si>
  <si>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</si>
  <si>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</si>
  <si>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</si>
  <si>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</si>
  <si>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</si>
  <si>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</si>
  <si>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</si>
  <si>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</si>
  <si>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</si>
  <si>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</si>
  <si>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</si>
  <si>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</si>
  <si>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</si>
  <si>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</si>
  <si>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</si>
  <si>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</si>
  <si>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</si>
  <si>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</si>
  <si>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</si>
  <si>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</si>
  <si>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</si>
  <si>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</si>
  <si>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</si>
  <si>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</si>
  <si>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</si>
  <si>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</si>
  <si>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</si>
  <si>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</si>
  <si>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</si>
  <si>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</si>
  <si>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</si>
  <si>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</si>
  <si>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</si>
  <si>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</si>
  <si>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</si>
  <si>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</si>
  <si>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</si>
  <si>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</si>
  <si>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</si>
  <si>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</si>
  <si>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</si>
  <si>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</si>
  <si>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</si>
  <si>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</si>
  <si>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</si>
  <si>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</si>
  <si>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</si>
  <si>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</si>
  <si>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</si>
  <si>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</si>
  <si>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</si>
  <si>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</si>
  <si>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</si>
  <si>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</si>
  <si>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</si>
  <si>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</si>
  <si>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</si>
  <si>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</si>
  <si>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</si>
  <si>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</si>
  <si>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</si>
  <si>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</si>
  <si>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</si>
  <si>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</si>
  <si>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</si>
  <si>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</si>
  <si>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</si>
  <si>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</si>
  <si>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</si>
  <si>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</si>
  <si>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</si>
  <si>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</si>
  <si>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</si>
  <si>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</si>
  <si>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</si>
  <si>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</si>
  <si>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</si>
  <si>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</si>
  <si>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</si>
  <si>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</si>
  <si>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</si>
  <si>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</si>
  <si>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</si>
  <si>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</si>
  <si>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</si>
  <si>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</si>
  <si>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</si>
  <si>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</si>
  <si>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</si>
  <si>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</si>
  <si>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</si>
  <si>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</si>
  <si>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</si>
  <si>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</si>
  <si>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</si>
  <si>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</si>
  <si>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</si>
  <si>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</si>
  <si>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</si>
  <si>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</si>
  <si>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</si>
  <si>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</si>
  <si>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</si>
  <si>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</si>
  <si>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</si>
  <si>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</si>
  <si>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</si>
  <si>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</si>
  <si>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</si>
  <si>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</si>
  <si>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</si>
  <si>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</si>
  <si>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</si>
  <si>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</si>
  <si>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</si>
  <si>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</si>
  <si>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</si>
  <si>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</si>
  <si>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</si>
  <si>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</si>
  <si>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</si>
  <si>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</si>
  <si>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</si>
  <si>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</si>
  <si>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</si>
  <si>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</si>
  <si>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</si>
  <si>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</si>
  <si>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</si>
  <si>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</si>
  <si>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</si>
  <si>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</si>
  <si>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</si>
  <si>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</si>
  <si>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</si>
  <si>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</si>
  <si>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</si>
  <si>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</si>
  <si>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</si>
  <si>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</si>
  <si>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</si>
  <si>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</si>
  <si>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</si>
  <si>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</si>
  <si>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</si>
  <si>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</si>
  <si>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</si>
  <si>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</si>
  <si>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</si>
  <si>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</si>
  <si>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</si>
  <si>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</si>
  <si>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</si>
  <si>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</si>
  <si>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</si>
  <si>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</si>
  <si>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</si>
  <si>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</si>
  <si>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</si>
  <si>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</si>
  <si>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</si>
  <si>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</si>
  <si>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</si>
  <si>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</si>
  <si>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</si>
  <si>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</si>
  <si>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</si>
  <si>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</si>
  <si>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</si>
  <si>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</si>
  <si>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</si>
  <si>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</si>
  <si>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</si>
  <si>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</si>
  <si>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</si>
  <si>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</si>
  <si>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</si>
  <si>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</si>
  <si>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</si>
  <si>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</si>
  <si>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</si>
  <si>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</si>
  <si>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</si>
  <si>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</si>
  <si>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</si>
  <si>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</si>
  <si>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</si>
  <si>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</si>
  <si>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</si>
  <si>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</si>
  <si>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</si>
  <si>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</si>
  <si>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</si>
  <si>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</si>
  <si>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</si>
  <si>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</si>
  <si>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</si>
  <si>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</si>
  <si>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</si>
  <si>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</si>
  <si>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</si>
  <si>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</si>
  <si>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</si>
  <si>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</si>
  <si>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</si>
  <si>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</si>
  <si>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</si>
  <si>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</si>
  <si>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</si>
  <si>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</si>
  <si>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</si>
  <si>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</si>
  <si>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</si>
  <si>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</si>
  <si>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</si>
  <si>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</si>
  <si>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</si>
  <si>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</si>
  <si>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</si>
  <si>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</si>
  <si>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</si>
  <si>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</si>
  <si>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</si>
  <si>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</si>
  <si>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</si>
  <si>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</si>
  <si>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</si>
  <si>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</si>
  <si>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</si>
  <si>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</si>
  <si>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</si>
  <si>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</si>
  <si>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</si>
  <si>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</si>
  <si>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</si>
  <si>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</si>
  <si>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</si>
  <si>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</si>
  <si>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</si>
  <si>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</si>
  <si>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</si>
  <si>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</si>
  <si>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</si>
  <si>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</si>
  <si>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</si>
  <si>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</si>
  <si>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</si>
  <si>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</si>
  <si>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</si>
  <si>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</si>
  <si>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</si>
  <si>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</si>
  <si>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</si>
  <si>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</si>
  <si>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</si>
  <si>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</si>
  <si>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</si>
  <si>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</si>
  <si>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</si>
  <si>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</si>
  <si>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</si>
  <si>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</si>
  <si>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</si>
  <si>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</si>
  <si>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</si>
  <si>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</si>
  <si>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</si>
  <si>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</si>
  <si>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</si>
  <si>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</si>
  <si>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</si>
  <si>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</si>
  <si>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</si>
  <si>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</si>
  <si>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</si>
  <si>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</si>
  <si>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</si>
  <si>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</si>
  <si>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</si>
  <si>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</si>
  <si>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</si>
  <si>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</si>
  <si>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</si>
  <si>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</si>
  <si>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</si>
  <si>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</si>
  <si>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</si>
  <si>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</si>
  <si>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</si>
  <si>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</si>
  <si>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</si>
  <si>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</si>
  <si>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</si>
  <si>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</si>
  <si>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</si>
  <si>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</si>
  <si>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</si>
  <si>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</si>
  <si>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</si>
  <si>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</si>
  <si>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</si>
  <si>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</si>
  <si>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</si>
  <si>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</si>
  <si>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</si>
  <si>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</si>
  <si>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</si>
  <si>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</si>
  <si>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</si>
  <si>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</si>
  <si>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</si>
  <si>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</si>
  <si>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</si>
  <si>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</si>
  <si>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</si>
  <si>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</si>
  <si>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</si>
  <si>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</si>
  <si>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</si>
  <si>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</si>
  <si>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</si>
  <si>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</si>
  <si>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</si>
  <si>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</si>
  <si>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</si>
  <si>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</si>
  <si>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</si>
  <si>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</si>
  <si>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</si>
  <si>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</si>
  <si>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</si>
  <si>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</si>
  <si>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</si>
  <si>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</si>
  <si>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</si>
  <si>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</si>
  <si>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</si>
  <si>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</si>
  <si>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</si>
  <si>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</si>
  <si>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</si>
  <si>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</si>
  <si>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</si>
  <si>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</si>
  <si>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</si>
  <si>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</si>
  <si>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</si>
  <si>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</si>
  <si>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</si>
  <si>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</si>
  <si>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</si>
  <si>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</si>
  <si>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</si>
  <si>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</si>
  <si>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</si>
  <si>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</si>
  <si>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</si>
  <si>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</si>
  <si>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</si>
  <si>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</si>
  <si>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</si>
  <si>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</si>
  <si>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</si>
  <si>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</si>
  <si>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</si>
  <si>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</si>
  <si>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</si>
  <si>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</si>
  <si>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</si>
  <si>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</si>
  <si>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</si>
  <si>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</si>
  <si>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</si>
  <si>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</si>
  <si>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</si>
  <si>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</si>
  <si>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</si>
  <si>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</si>
  <si>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</si>
  <si>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</si>
  <si>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</si>
  <si>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</si>
  <si>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</si>
  <si>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</si>
  <si>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</si>
  <si>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</si>
  <si>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</si>
  <si>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</si>
  <si>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</si>
  <si>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</si>
  <si>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</si>
  <si>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</si>
  <si>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</si>
  <si>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</si>
  <si>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</si>
  <si>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</si>
  <si>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</si>
  <si>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</si>
  <si>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</si>
  <si>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</si>
  <si>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</si>
  <si>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</si>
  <si>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</si>
  <si>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</si>
  <si>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</si>
  <si>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</si>
  <si>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</si>
  <si>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</si>
  <si>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</si>
  <si>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</si>
  <si>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</si>
  <si>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</si>
  <si>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</si>
  <si>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</si>
  <si>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</si>
  <si>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</si>
  <si>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</si>
  <si>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</si>
  <si>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</si>
  <si>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</si>
  <si>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</si>
  <si>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</si>
  <si>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</si>
  <si>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</si>
  <si>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</si>
  <si>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</si>
  <si>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</si>
  <si>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</si>
  <si>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</si>
  <si>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</si>
  <si>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</si>
  <si>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</si>
  <si>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</si>
  <si>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</si>
  <si>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</si>
  <si>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</si>
  <si>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</si>
  <si>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</si>
  <si>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</si>
  <si>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</si>
  <si>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</si>
  <si>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</si>
  <si>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</si>
  <si>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</si>
  <si>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</si>
  <si>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</si>
  <si>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</si>
  <si>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</si>
  <si>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</si>
  <si>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</si>
  <si>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</si>
  <si>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</si>
  <si>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</si>
  <si>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</si>
  <si>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</si>
  <si>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</si>
  <si>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</si>
  <si>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</si>
  <si>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</si>
  <si>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</si>
  <si>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</si>
  <si>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</si>
  <si>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</si>
  <si>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</si>
  <si>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</si>
  <si>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</si>
  <si>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</si>
  <si>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</si>
  <si>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</si>
  <si>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</si>
  <si>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</si>
  <si>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</si>
  <si>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</si>
  <si>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</si>
  <si>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</si>
  <si>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</si>
  <si>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</si>
  <si>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</si>
  <si>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</si>
  <si>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</si>
  <si>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</si>
  <si>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</si>
  <si>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</si>
  <si>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</si>
  <si>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</si>
  <si>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</si>
  <si>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</si>
  <si>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</si>
  <si>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</si>
  <si>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</si>
  <si>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</si>
  <si>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</si>
  <si>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</si>
  <si>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</si>
  <si>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</si>
  <si>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</si>
  <si>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</si>
  <si>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</si>
  <si>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</si>
  <si>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</si>
  <si>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</si>
  <si>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</si>
  <si>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</si>
  <si>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</si>
  <si>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</si>
  <si>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</si>
  <si>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</si>
  <si>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</si>
  <si>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</si>
  <si>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</si>
  <si>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</si>
  <si>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</si>
  <si>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</si>
  <si>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</si>
  <si>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</si>
  <si>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</si>
  <si>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</si>
  <si>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</si>
  <si>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</si>
  <si>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</si>
  <si>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</si>
  <si>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</si>
  <si>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</si>
  <si>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</si>
  <si>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</si>
  <si>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</si>
  <si>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</si>
  <si>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</si>
  <si>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</si>
  <si>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</si>
  <si>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</si>
  <si>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</si>
  <si>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</si>
  <si>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</si>
  <si>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</si>
  <si>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</si>
  <si>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</si>
  <si>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</si>
  <si>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</si>
  <si>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</si>
  <si>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</si>
  <si>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</si>
  <si>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</si>
  <si>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</si>
  <si>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</si>
  <si>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</si>
  <si>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</si>
  <si>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</si>
  <si>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</si>
  <si>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</si>
  <si>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</si>
  <si>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</si>
  <si>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</si>
  <si>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</si>
  <si>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</si>
  <si>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</si>
  <si>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</si>
  <si>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</si>
  <si>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</si>
  <si>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</si>
  <si>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</si>
  <si>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</si>
  <si>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</si>
  <si>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</si>
  <si>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</si>
  <si>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</si>
  <si>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</si>
  <si>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</si>
  <si>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</si>
  <si>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</si>
  <si>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</si>
  <si>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</si>
  <si>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</si>
  <si>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</si>
  <si>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</si>
  <si>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</si>
  <si>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</si>
  <si>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</si>
  <si>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</si>
  <si>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</si>
  <si>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</si>
  <si>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</si>
  <si>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</si>
  <si>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</si>
  <si>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</si>
  <si>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</si>
  <si>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</si>
  <si>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</si>
  <si>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</si>
  <si>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</si>
  <si>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</si>
  <si>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</si>
  <si>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</si>
  <si>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</si>
  <si>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</si>
  <si>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</si>
  <si>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</si>
  <si>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</si>
  <si>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</si>
  <si>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</si>
  <si>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</si>
  <si>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</si>
  <si>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</si>
  <si>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</si>
  <si>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</si>
  <si>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</si>
  <si>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</si>
  <si>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</si>
  <si>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</si>
  <si>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</si>
  <si>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</si>
  <si>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</si>
  <si>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</si>
  <si>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</si>
  <si>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</si>
  <si>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</si>
  <si>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</si>
  <si>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</si>
  <si>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</si>
  <si>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</si>
  <si>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</si>
  <si>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</si>
  <si>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</si>
  <si>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</si>
  <si>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</si>
  <si>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</si>
  <si>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</si>
  <si>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</si>
  <si>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</si>
  <si>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</si>
  <si>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</si>
  <si>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</si>
  <si>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</si>
  <si>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</si>
  <si>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</si>
  <si>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</si>
  <si>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</si>
  <si>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</si>
  <si>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</si>
  <si>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</si>
  <si>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</si>
  <si>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</si>
  <si>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</si>
  <si>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</si>
  <si>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</si>
  <si>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</si>
  <si>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</si>
  <si>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</si>
  <si>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</si>
  <si>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</si>
  <si>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</si>
  <si>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</si>
  <si>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</si>
  <si>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</si>
  <si>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</si>
  <si>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</si>
  <si>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</si>
  <si>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</si>
  <si>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</si>
  <si>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</si>
  <si>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</si>
  <si>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</si>
  <si>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</si>
  <si>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</si>
  <si>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</si>
  <si>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</si>
  <si>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</si>
  <si>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</si>
  <si>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</si>
  <si>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</si>
  <si>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</si>
  <si>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</si>
  <si>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</si>
  <si>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</si>
  <si>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</si>
  <si>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</si>
  <si>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</si>
  <si>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</si>
  <si>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</si>
  <si>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</si>
  <si>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</si>
  <si>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</si>
  <si>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</si>
  <si>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</si>
  <si>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</si>
  <si>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</si>
  <si>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</si>
  <si>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</si>
  <si>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</si>
  <si>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</si>
  <si>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</si>
  <si>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</si>
  <si>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</si>
  <si>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</si>
  <si>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</si>
  <si>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</si>
  <si>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</si>
  <si>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</si>
  <si>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</si>
  <si>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</si>
  <si>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</si>
  <si>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</si>
  <si>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</si>
  <si>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</si>
  <si>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</si>
  <si>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</si>
  <si>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</si>
  <si>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</si>
  <si>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</si>
  <si>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</si>
  <si>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</si>
  <si>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</si>
  <si>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</si>
  <si>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</si>
  <si>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</si>
  <si>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</si>
  <si>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</si>
  <si>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</si>
  <si>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</si>
  <si>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</si>
  <si>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</si>
  <si>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</si>
  <si>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</si>
  <si>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</si>
  <si>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</si>
  <si>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</si>
  <si>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</si>
  <si>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</si>
  <si>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</si>
  <si>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</si>
  <si>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</si>
  <si>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</si>
  <si>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</si>
  <si>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</si>
  <si>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</si>
  <si>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</si>
  <si>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</si>
  <si>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</si>
  <si>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</si>
  <si>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</si>
  <si>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</si>
  <si>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</si>
  <si>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</si>
  <si>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</si>
  <si>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</si>
  <si>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</si>
  <si>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</si>
  <si>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</si>
  <si>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</si>
  <si>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</si>
  <si>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</si>
  <si>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</si>
  <si>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</si>
  <si>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</si>
  <si>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</si>
  <si>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</si>
  <si>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</si>
  <si>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</si>
  <si>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</si>
  <si>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</si>
  <si>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</si>
  <si>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</si>
  <si>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</si>
  <si>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</si>
  <si>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</si>
  <si>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</si>
  <si>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</si>
  <si>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</si>
  <si>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</si>
  <si>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</si>
  <si>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</si>
  <si>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</si>
  <si>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</si>
  <si>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</si>
  <si>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</si>
  <si>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</si>
  <si>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</si>
  <si>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</si>
  <si>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</si>
  <si>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</si>
  <si>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</si>
  <si>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</si>
  <si>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</si>
  <si>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</si>
  <si>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</si>
  <si>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</si>
  <si>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</si>
  <si>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</si>
  <si>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</si>
  <si>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</si>
  <si>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</si>
  <si>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</si>
  <si>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</si>
  <si>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</si>
  <si>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</si>
  <si>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</si>
  <si>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</si>
  <si>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</si>
  <si>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</si>
  <si>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</si>
  <si>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</si>
  <si>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</si>
  <si>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</si>
  <si>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</si>
  <si>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</si>
  <si>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</si>
  <si>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</si>
  <si>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</si>
  <si>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</si>
  <si>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</si>
  <si>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</si>
  <si>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</si>
  <si>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</si>
  <si>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</si>
  <si>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</si>
  <si>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</si>
  <si>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</si>
  <si>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</si>
  <si>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</si>
  <si>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</si>
  <si>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</si>
  <si>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</si>
  <si>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</si>
  <si>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</si>
  <si>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</si>
  <si>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</si>
  <si>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</si>
  <si>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</si>
  <si>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</si>
  <si>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</si>
  <si>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</si>
  <si>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</si>
  <si>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</si>
  <si>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</si>
  <si>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</si>
  <si>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</si>
  <si>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</si>
  <si>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</si>
  <si>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</si>
  <si>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</si>
  <si>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</si>
  <si>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</si>
  <si>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</si>
  <si>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</si>
  <si>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</si>
  <si>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</si>
  <si>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</si>
  <si>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</si>
  <si>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</si>
  <si>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</si>
  <si>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</si>
  <si>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</si>
  <si>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</si>
  <si>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</si>
  <si>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</si>
  <si>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</si>
  <si>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</si>
  <si>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</si>
  <si>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</si>
  <si>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</si>
  <si>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</si>
  <si>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</si>
  <si>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</si>
  <si>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</si>
  <si>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</si>
  <si>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</si>
  <si>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</si>
  <si>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</si>
  <si>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</si>
  <si>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</si>
  <si>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</si>
  <si>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</si>
  <si>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</si>
  <si>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</si>
  <si>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</si>
  <si>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</si>
  <si>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</si>
  <si>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</si>
  <si>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</si>
  <si>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</si>
  <si>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</si>
  <si>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</si>
  <si>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</si>
  <si>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</si>
  <si>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</si>
  <si>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</si>
  <si>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</si>
  <si>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</si>
  <si>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</si>
  <si>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</si>
  <si>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</si>
  <si>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</si>
  <si>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</si>
  <si>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</si>
  <si>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</si>
  <si>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</si>
  <si>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</si>
  <si>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</si>
  <si>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</si>
  <si>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</si>
  <si>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</si>
  <si>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</si>
  <si>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</si>
  <si>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</si>
  <si>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</si>
  <si>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</si>
  <si>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</si>
  <si>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</si>
  <si>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</si>
  <si>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</si>
  <si>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</si>
  <si>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</si>
  <si>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</si>
  <si>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</si>
  <si>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</si>
  <si>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</si>
  <si>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</si>
  <si>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</si>
  <si>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</si>
  <si>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</si>
  <si>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</si>
  <si>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</si>
  <si>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</si>
  <si>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</si>
  <si>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</si>
  <si>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</si>
  <si>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</si>
  <si>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</si>
  <si>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</si>
  <si>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</si>
  <si>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</si>
  <si>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</si>
  <si>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</si>
  <si>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</si>
  <si>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</si>
  <si>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</si>
  <si>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</si>
  <si>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</si>
  <si>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</si>
  <si>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</si>
  <si>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</si>
  <si>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</si>
  <si>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</si>
  <si>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</si>
  <si>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</si>
  <si>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</si>
  <si>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</si>
  <si>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</si>
  <si>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</si>
  <si>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</si>
  <si>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</si>
  <si>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</si>
  <si>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</si>
  <si>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</si>
  <si>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</si>
  <si>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</si>
  <si>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</si>
  <si>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</si>
  <si>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</si>
  <si>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</si>
  <si>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</si>
  <si>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</si>
  <si>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</si>
  <si>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</si>
  <si>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</si>
  <si>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</si>
  <si>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</si>
  <si>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</si>
  <si>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</si>
  <si>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</si>
  <si>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</si>
  <si>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</si>
  <si>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</si>
  <si>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</si>
  <si>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</si>
  <si>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</si>
  <si>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</si>
  <si>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</si>
  <si>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</si>
  <si>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</si>
  <si>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</si>
  <si>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</si>
  <si>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</si>
  <si>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</si>
  <si>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</si>
  <si>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</si>
  <si>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</si>
  <si>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</si>
  <si>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</si>
  <si>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</si>
  <si>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</si>
  <si>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</si>
  <si>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</si>
  <si>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</si>
  <si>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</si>
  <si>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</si>
  <si>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</si>
  <si>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</si>
  <si>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</si>
  <si>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</si>
  <si>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</si>
  <si>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</si>
  <si>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</si>
  <si>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</si>
  <si>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</si>
  <si>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</si>
  <si>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</si>
  <si>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</si>
  <si>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</si>
  <si>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</si>
  <si>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</si>
  <si>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</si>
  <si>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</si>
  <si>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</si>
  <si>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</si>
  <si>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</si>
  <si>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</si>
  <si>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</si>
  <si>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</si>
  <si>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</si>
  <si>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</si>
  <si>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</si>
  <si>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</si>
  <si>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</si>
  <si>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</si>
  <si>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</si>
  <si>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</si>
  <si>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</si>
  <si>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</si>
  <si>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</si>
  <si>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</si>
  <si>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</si>
  <si>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</si>
  <si>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</si>
  <si>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</si>
  <si>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</si>
  <si>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</si>
  <si>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</si>
  <si>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</si>
  <si>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</si>
  <si>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</si>
  <si>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</si>
  <si>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</si>
  <si>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</si>
  <si>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</si>
  <si>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</si>
  <si>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</si>
  <si>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</si>
  <si>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</si>
  <si>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</si>
  <si>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</si>
  <si>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</si>
  <si>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</si>
  <si>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</si>
  <si>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</si>
  <si>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</si>
  <si>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</si>
  <si>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</si>
  <si>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</si>
  <si>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</si>
  <si>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</si>
  <si>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</si>
  <si>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</si>
  <si>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</si>
  <si>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</si>
  <si>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</si>
  <si>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</si>
  <si>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</si>
  <si>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</si>
  <si>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</si>
  <si>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</si>
  <si>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</si>
  <si>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</si>
  <si>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</si>
  <si>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</si>
  <si>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</si>
  <si>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</si>
  <si>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</si>
  <si>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</si>
  <si>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</si>
  <si>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</si>
  <si>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</si>
  <si>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</si>
  <si>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</si>
  <si>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</si>
  <si>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</si>
  <si>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</si>
  <si>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</si>
  <si>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</si>
  <si>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</si>
  <si>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</si>
  <si>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</si>
  <si>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</si>
  <si>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</si>
  <si>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</si>
  <si>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</si>
  <si>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</si>
  <si>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</si>
  <si>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</si>
  <si>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</si>
  <si>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</si>
  <si>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</si>
  <si>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</si>
  <si>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</si>
  <si>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</si>
  <si>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</si>
  <si>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</si>
  <si>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</si>
  <si>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</si>
  <si>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</si>
  <si>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</si>
  <si>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</si>
  <si>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</si>
  <si>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</si>
  <si>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</si>
  <si>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</si>
  <si>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</si>
  <si>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</si>
  <si>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</si>
  <si>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</si>
  <si>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</si>
  <si>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</si>
  <si>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</si>
  <si>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</si>
  <si>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</si>
  <si>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</si>
  <si>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</si>
  <si>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</si>
  <si>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</si>
  <si>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</si>
  <si>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</si>
  <si>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</si>
  <si>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</si>
  <si>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</si>
  <si>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</si>
  <si>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</si>
  <si>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</si>
  <si>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</si>
  <si>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</si>
  <si>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</si>
  <si>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</si>
  <si>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</si>
  <si>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</si>
  <si>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</si>
  <si>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</si>
  <si>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</si>
  <si>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</si>
  <si>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</si>
  <si>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</si>
  <si>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</si>
  <si>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</si>
  <si>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</si>
  <si>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</si>
  <si>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</si>
  <si>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</si>
  <si>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</si>
  <si>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</si>
  <si>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</si>
  <si>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</si>
  <si>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</si>
  <si>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</si>
  <si>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</si>
  <si>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</si>
  <si>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</si>
  <si>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</si>
  <si>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</si>
  <si>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</si>
  <si>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</si>
  <si>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</si>
  <si>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</si>
  <si>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</si>
  <si>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</si>
  <si>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</si>
  <si>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</si>
  <si>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</si>
  <si>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</si>
  <si>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</si>
  <si>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</si>
  <si>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</si>
  <si>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</si>
  <si>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</si>
  <si>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</si>
  <si>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</si>
  <si>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</si>
  <si>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</si>
  <si>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</si>
  <si>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</si>
  <si>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</si>
  <si>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</si>
  <si>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</si>
  <si>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</si>
  <si>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</si>
  <si>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</si>
  <si>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</si>
  <si>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</si>
  <si>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</si>
  <si>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</si>
  <si>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</si>
  <si>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</si>
  <si>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</si>
  <si>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</si>
  <si>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</si>
  <si>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</si>
  <si>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</si>
  <si>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</si>
  <si>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</si>
  <si>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</si>
  <si>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</si>
  <si>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</si>
  <si>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</si>
  <si>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</si>
  <si>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</si>
  <si>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</si>
  <si>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</si>
  <si>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</si>
  <si>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</si>
  <si>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</si>
  <si>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</si>
  <si>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</si>
  <si>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</si>
  <si>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</si>
  <si>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</si>
  <si>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</si>
  <si>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</si>
  <si>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</si>
  <si>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</si>
  <si>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</si>
  <si>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</si>
  <si>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</si>
  <si>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</si>
  <si>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</si>
  <si>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</si>
  <si>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</si>
  <si>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</si>
  <si>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</si>
  <si>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</si>
  <si>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</si>
  <si>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</si>
  <si>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</si>
  <si>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</si>
  <si>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</si>
  <si>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</si>
  <si>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</si>
  <si>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</si>
  <si>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</si>
  <si>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</si>
  <si>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</si>
  <si>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</si>
  <si>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</si>
  <si>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</si>
  <si>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</si>
  <si>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</si>
  <si>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</si>
  <si>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</si>
  <si>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</si>
  <si>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</si>
  <si>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</si>
  <si>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</si>
  <si>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</si>
  <si>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</si>
  <si>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</si>
  <si>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</si>
  <si>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</si>
  <si>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</si>
  <si>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</si>
  <si>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</si>
  <si>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</si>
  <si>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</si>
  <si>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</si>
  <si>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</si>
  <si>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</si>
  <si>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</si>
  <si>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</si>
  <si>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</si>
  <si>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</si>
  <si>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</si>
  <si>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</si>
  <si>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</si>
  <si>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</si>
  <si>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</si>
  <si>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</si>
  <si>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</si>
  <si>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</si>
  <si>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</si>
  <si>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</si>
  <si>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</si>
  <si>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</si>
  <si>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</si>
  <si>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</si>
  <si>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</si>
  <si>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</si>
  <si>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</si>
  <si>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</si>
  <si>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</si>
  <si>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</si>
  <si>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</si>
  <si>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</si>
  <si>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</si>
  <si>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</si>
  <si>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</si>
  <si>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</si>
  <si>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</si>
  <si>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</si>
  <si>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</si>
  <si>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</si>
  <si>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</si>
  <si>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</si>
  <si>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</si>
  <si>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</si>
  <si>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</si>
  <si>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</si>
  <si>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</si>
  <si>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</si>
  <si>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</si>
  <si>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</si>
  <si>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</si>
  <si>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</si>
  <si>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</si>
  <si>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</si>
  <si>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</si>
  <si>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</si>
  <si>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</si>
  <si>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</si>
  <si>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</si>
  <si>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</si>
  <si>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</si>
  <si>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</si>
  <si>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</si>
  <si>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</si>
  <si>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</si>
  <si>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</si>
  <si>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</si>
  <si>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</si>
  <si>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</si>
  <si>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</si>
  <si>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</si>
  <si>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</si>
  <si>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</si>
  <si>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</si>
  <si>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</si>
  <si>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</si>
  <si>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</si>
  <si>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</si>
  <si>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</si>
  <si>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</si>
  <si>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</si>
  <si>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</si>
  <si>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</si>
  <si>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</si>
  <si>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</si>
  <si>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</si>
  <si>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</si>
  <si>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</si>
  <si>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</si>
  <si>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</si>
  <si>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</si>
  <si>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</si>
  <si>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</si>
  <si>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</si>
  <si>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</si>
  <si>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</si>
  <si>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</si>
  <si>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</si>
  <si>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</si>
  <si>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</si>
  <si>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</si>
  <si>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</si>
  <si>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</si>
  <si>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</si>
  <si>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</si>
  <si>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</si>
  <si>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</si>
  <si>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</si>
  <si>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</si>
  <si>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</si>
  <si>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</si>
  <si>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</si>
  <si>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</si>
  <si>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</si>
  <si>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</si>
  <si>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</si>
  <si>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</si>
  <si>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</si>
  <si>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</si>
  <si>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</si>
  <si>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</si>
  <si>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</si>
  <si>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</si>
  <si>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</si>
  <si>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</si>
  <si>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</si>
  <si>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</si>
  <si>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</si>
  <si>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</si>
  <si>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</si>
  <si>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</si>
  <si>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</si>
  <si>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</si>
  <si>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</si>
  <si>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</si>
  <si>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</si>
  <si>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</si>
  <si>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</si>
  <si>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</si>
  <si>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</si>
  <si>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</si>
  <si>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</si>
  <si>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</si>
  <si>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</si>
  <si>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</si>
  <si>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</si>
  <si>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</si>
  <si>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</si>
  <si>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</si>
  <si>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</si>
  <si>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</si>
  <si>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</si>
  <si>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</si>
  <si>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</si>
  <si>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</si>
  <si>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</si>
  <si>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</si>
  <si>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</si>
  <si>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</si>
  <si>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</si>
  <si>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</si>
  <si>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</si>
  <si>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</si>
  <si>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</si>
  <si>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</si>
  <si>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</si>
  <si>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</si>
  <si>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</si>
  <si>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</si>
  <si>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</si>
  <si>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</si>
  <si>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</si>
  <si>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</si>
  <si>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</si>
  <si>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</si>
  <si>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</si>
  <si>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</si>
  <si>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</si>
  <si>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</si>
  <si>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</si>
  <si>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</si>
  <si>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</si>
  <si>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</si>
  <si>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</si>
  <si>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</si>
  <si>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</si>
  <si>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</si>
  <si>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</si>
  <si>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</si>
  <si>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</si>
  <si>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</si>
  <si>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</si>
  <si>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</si>
  <si>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</si>
  <si>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</si>
  <si>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</si>
  <si>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</si>
  <si>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</si>
  <si>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</si>
  <si>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</si>
  <si>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</si>
  <si>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</si>
  <si>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</si>
  <si>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</si>
  <si>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</si>
  <si>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</si>
  <si>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</si>
  <si>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</si>
  <si>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</si>
  <si>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</si>
  <si>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</si>
  <si>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</si>
  <si>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</si>
  <si>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</si>
  <si>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</si>
  <si>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</si>
  <si>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</si>
  <si>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</si>
  <si>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</si>
  <si>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</si>
  <si>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</si>
  <si>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</si>
  <si>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</si>
  <si>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</si>
  <si>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</si>
  <si>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</si>
  <si>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</si>
  <si>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</si>
  <si>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</si>
  <si>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</si>
  <si>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</si>
  <si>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</si>
  <si>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</si>
  <si>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</si>
  <si>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</si>
  <si>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</si>
  <si>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</si>
  <si>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</si>
  <si>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</si>
  <si>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</si>
  <si>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</si>
  <si>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</si>
  <si>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</si>
  <si>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</si>
  <si>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</si>
  <si>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</si>
  <si>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</si>
  <si>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</si>
  <si>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</si>
  <si>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</si>
  <si>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</si>
  <si>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</si>
  <si>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</si>
  <si>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</si>
  <si>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</si>
  <si>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</si>
  <si>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</si>
  <si>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</si>
  <si>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</si>
  <si>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</si>
  <si>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</si>
  <si>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</si>
  <si>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</si>
  <si>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</si>
  <si>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Samuel CHARPENTEAU</t>
  </si>
  <si>
    <t xml:space="preserve">Boulzane</t>
  </si>
  <si>
    <t xml:space="preserve">Montfort-sur-Boulzane</t>
  </si>
  <si>
    <t xml:space="preserve">06172930</t>
  </si>
  <si>
    <t xml:space="preserve">7178c - RCS LR 2014</t>
  </si>
  <si>
    <t xml:space="preserve">radier</t>
  </si>
  <si>
    <t xml:space="preserve">mouille</t>
  </si>
  <si>
    <t xml:space="preserve">très faible</t>
  </si>
  <si>
    <t xml:space="preserve">faible</t>
  </si>
  <si>
    <t xml:space="preserve">peu abondant</t>
  </si>
  <si>
    <t xml:space="preserve">Cf.</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</si>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</sst>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J48" activeCellId="0" sqref="J4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41879</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14.1379310344828</v>
      </c>
      <c r="N5" s="364"/>
      <c r="O5" s="365" t="s">
        <v>684</v>
      </c>
      <c r="P5" s="366" t="n">
        <v>13.9130434782609</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3638</v>
      </c>
      <c r="Q6" s="379"/>
      <c r="R6" s="321"/>
      <c r="S6" s="321"/>
      <c r="T6" s="321"/>
      <c r="U6" s="321"/>
      <c r="V6" s="321"/>
      <c r="W6" s="335"/>
    </row>
    <row r="7" customFormat="false" ht="12.75" hidden="false" customHeight="false" outlineLevel="0" collapsed="false">
      <c r="A7" s="380" t="s">
        <v>3565</v>
      </c>
      <c r="B7" s="381" t="n">
        <v>73</v>
      </c>
      <c r="C7" s="382" t="n">
        <v>27</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13.4444444444444</v>
      </c>
      <c r="P8" s="396" t="n">
        <f aca="false">IF(ISERROR(AVERAGE(K23:K82)),"  ",AVERAGE(K23:K82))</f>
        <v>1.77777777777778</v>
      </c>
      <c r="Q8" s="397"/>
      <c r="R8" s="321"/>
      <c r="S8" s="321"/>
      <c r="T8" s="321"/>
      <c r="U8" s="321"/>
      <c r="V8" s="321"/>
      <c r="W8" s="335"/>
    </row>
    <row r="9" customFormat="false" ht="12.75" hidden="false" customHeight="false" outlineLevel="0" collapsed="false">
      <c r="A9" s="354" t="s">
        <v>3571</v>
      </c>
      <c r="B9" s="398" t="n">
        <v>3.5</v>
      </c>
      <c r="C9" s="399" t="n">
        <v>1.4</v>
      </c>
      <c r="D9" s="400"/>
      <c r="E9" s="400"/>
      <c r="F9" s="401" t="n">
        <f aca="false">($B9*$B$7+$C9*$C$7)/100</f>
        <v>2.933</v>
      </c>
      <c r="G9" s="402"/>
      <c r="H9" s="357"/>
      <c r="I9" s="321"/>
      <c r="J9" s="403"/>
      <c r="K9" s="404"/>
      <c r="L9" s="387"/>
      <c r="M9" s="405"/>
      <c r="N9" s="395" t="s">
        <v>3572</v>
      </c>
      <c r="O9" s="396" t="n">
        <f aca="false">IF(ISERROR(STDEVP(J23:J82))," ",STDEVP(J23:J82))</f>
        <v>1.89215404065849</v>
      </c>
      <c r="P9" s="396" t="n">
        <f aca="false">IF(ISERROR(STDEVP(K23:K82)),"  ",STDEVP(K23:K82))</f>
        <v>0.415739709641549</v>
      </c>
      <c r="Q9" s="397"/>
      <c r="R9" s="321"/>
      <c r="S9" s="321"/>
      <c r="T9" s="321"/>
      <c r="U9" s="321"/>
      <c r="V9" s="321"/>
      <c r="W9" s="335"/>
    </row>
    <row r="10" customFormat="false" ht="12.75" hidden="false" customHeight="false" outlineLevel="0" collapsed="false">
      <c r="A10" s="354" t="s">
        <v>3573</v>
      </c>
      <c r="B10" s="406" t="s">
        <v>3639</v>
      </c>
      <c r="C10" s="407" t="s">
        <v>3639</v>
      </c>
      <c r="D10" s="400"/>
      <c r="E10" s="400"/>
      <c r="F10" s="401"/>
      <c r="G10" s="402"/>
      <c r="H10" s="370"/>
      <c r="I10" s="321"/>
      <c r="J10" s="408"/>
      <c r="K10" s="409" t="s">
        <v>3574</v>
      </c>
      <c r="L10" s="410"/>
      <c r="M10" s="411"/>
      <c r="N10" s="395" t="s">
        <v>3575</v>
      </c>
      <c r="O10" s="412" t="n">
        <f aca="false">MIN(J23:J82)</f>
        <v>10</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15</v>
      </c>
      <c r="P11" s="412" t="n">
        <f aca="false">MAX(K23:K82)</f>
        <v>2</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3</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6</v>
      </c>
      <c r="M13" s="421"/>
      <c r="N13" s="429" t="s">
        <v>3583</v>
      </c>
      <c r="O13" s="430" t="n">
        <f aca="false">COUNTIF(F23:F82,"&gt;0")</f>
        <v>9</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9</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2</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7</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1</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3.471</v>
      </c>
      <c r="C20" s="473" t="n">
        <f aca="false">SUM(C23:C62)</f>
        <v>1.41</v>
      </c>
      <c r="D20" s="474"/>
      <c r="E20" s="475" t="s">
        <v>3596</v>
      </c>
      <c r="F20" s="476" t="n">
        <f aca="false">($B20*$B$7+$C20*$C$7)/100</f>
        <v>2.91453</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2.53383</v>
      </c>
      <c r="C21" s="484" t="n">
        <f aca="false">C20*C7/100</f>
        <v>0.3807</v>
      </c>
      <c r="D21" s="485" t="s">
        <v>3599</v>
      </c>
      <c r="E21" s="486"/>
      <c r="F21" s="487" t="n">
        <f aca="false">B21+C21</f>
        <v>2.91453</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0.001</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0.00073</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0.00073</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209</v>
      </c>
      <c r="B24" s="531" t="n">
        <v>0.5</v>
      </c>
      <c r="C24" s="532" t="n">
        <v>0.03</v>
      </c>
      <c r="D24" s="533" t="str">
        <f aca="false">IF(ISERROR(VLOOKUP($A24,'liste reference'!$A$6:$B$1245,2,0)),IF(ISERROR(VLOOKUP($A24,'liste reference'!$B$6:$B$1245,1,0)),"",VLOOKUP($A24,'liste reference'!$B$6:$B$1245,1,0)),VLOOKUP($A24,'liste reference'!$A$6:$B$1245,2,0))</f>
        <v>Hildenbrandia sp.</v>
      </c>
      <c r="E24" s="534" t="e">
        <f aca="false">IF(D24="",0,VLOOKUP(D24,D$22:D23,1,0))</f>
        <v>#N/A</v>
      </c>
      <c r="F24" s="535" t="n">
        <f aca="false">IF(AND(OR(A24="",A24="!!!!!!"),B24="",C24=""),"",IF(OR(AND(B24="",C24=""),ISERROR(C24+B24)),"!!!",($B24*$B$7+$C24*$C$7)/100))</f>
        <v>0.3731</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Hildenbrandia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1157</v>
      </c>
      <c r="R24" s="525" t="n">
        <f aca="false">IF(ISTEXT(H24),"",(B24*$B$7/100)+(C24*$C$7/100))</f>
        <v>0.3731</v>
      </c>
      <c r="S24" s="526" t="n">
        <f aca="false">IF(OR(ISTEXT(H24),R24=0),"",IF(R24&lt;0.1,1,IF(R24&lt;1,2,IF(R24&lt;10,3,IF(R24&lt;50,4,IF(R24&gt;=50,5,""))))))</f>
        <v>2</v>
      </c>
      <c r="T24" s="526" t="n">
        <f aca="false">IF(ISERROR(S24*J24),0,S24*J24)</f>
        <v>30</v>
      </c>
      <c r="U24" s="526" t="n">
        <f aca="false">IF(ISERROR(S24*J24*K24),0,S24*J24*K24)</f>
        <v>60</v>
      </c>
      <c r="V24" s="542" t="n">
        <f aca="false">IF(ISERROR(S24*K24),0,S24*K24)</f>
        <v>4</v>
      </c>
      <c r="W24" s="543"/>
      <c r="X24" s="544"/>
      <c r="Y24" s="529" t="str">
        <f aca="false">IF(AND(ISNUMBER(F24),OR(A24="",A24="!!!!!!")),"!!!!!!",IF(A24="new.cod","NEWCOD",IF(AND((Z24=""),ISTEXT(A24),A24&lt;&gt;"!!!!!!"),A24,IF(Z24="","",INDEX('liste reference'!$A$6:$A$1245,Z24)))))</f>
        <v>HILSPX</v>
      </c>
      <c r="Z24" s="511" t="n">
        <f aca="false">IF(ISERROR(MATCH(A24,'liste reference'!$A$6:$A$1245,0)),IF(ISERROR(MATCH(A24,'liste reference'!$B$6:$B$1245,0)),"",(MATCH(A24,'liste reference'!$B$6:$B$1245,0))),(MATCH(A24,'liste reference'!$A$6:$A$1245,0)))</f>
        <v>59</v>
      </c>
    </row>
    <row r="25" customFormat="false" ht="12.75" hidden="false" customHeight="false" outlineLevel="0" collapsed="false">
      <c r="A25" s="530" t="s">
        <v>237</v>
      </c>
      <c r="B25" s="531" t="n">
        <v>0.4</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0.292</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0.292</v>
      </c>
      <c r="S25" s="526" t="n">
        <f aca="false">IF(OR(ISTEXT(H25),R25=0),"",IF(R25&lt;0.1,1,IF(R25&lt;1,2,IF(R25&lt;10,3,IF(R25&lt;50,4,IF(R25&gt;=50,5,""))))))</f>
        <v>2</v>
      </c>
      <c r="T25" s="526" t="n">
        <f aca="false">IF(ISERROR(S25*J25),0,S25*J25)</f>
        <v>30</v>
      </c>
      <c r="U25" s="526" t="n">
        <f aca="false">IF(ISERROR(S25*J25*K25),0,S25*J25*K25)</f>
        <v>60</v>
      </c>
      <c r="V25" s="542" t="n">
        <f aca="false">IF(ISERROR(S25*K25),0,S25*K25)</f>
        <v>4</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487</v>
      </c>
      <c r="B26" s="531" t="n">
        <v>0.4</v>
      </c>
      <c r="C26" s="532" t="n">
        <v>0.3</v>
      </c>
      <c r="D26" s="533" t="str">
        <f aca="false">IF(ISERROR(VLOOKUP($A26,'liste reference'!$A$6:$B$1245,2,0)),IF(ISERROR(VLOOKUP($A26,'liste reference'!$B$6:$B$1245,1,0)),"",VLOOKUP($A26,'liste reference'!$B$6:$B$1245,1,0)),VLOOKUP($A26,'liste reference'!$A$6:$B$1245,2,0))</f>
        <v>Chiloscyphus polyanthos</v>
      </c>
      <c r="E26" s="534" t="e">
        <f aca="false">IF(D26="",0,VLOOKUP(D26,D$22:D25,1,0))</f>
        <v>#N/A</v>
      </c>
      <c r="F26" s="535" t="n">
        <f aca="false">IF(AND(OR(A26="",A26="!!!!!!"),B26="",C26=""),"",IF(OR(AND(B26="",C26=""),ISERROR(C26+B26)),"!!!",($B26*$B$7+$C26*$C$7)/100))</f>
        <v>0.373</v>
      </c>
      <c r="G26" s="536" t="str">
        <f aca="false">IF(A26="","",IF(ISERROR(VLOOKUP($A26,'liste reference'!$A$6:$Q$1245,9,0)),IF(ISERROR(VLOOKUP($A26,'liste reference'!$B$6:$Q$1245,8,0)),"    -",VLOOKUP($A26,'liste reference'!$B$6:$Q$1245,8,0)),VLOOKUP($A26,'liste reference'!$A$6:$Q$1245,9,0)))</f>
        <v>BRh</v>
      </c>
      <c r="H26" s="537" t="n">
        <f aca="false">IF(A26="","x",IF(ISERROR(VLOOKUP($A26,'liste reference'!$A$6:$Q$1245,10,0)),IF(ISERROR(VLOOKUP($A26,'liste reference'!$B$6:$Q$1245,9,0)),"x",VLOOKUP($A26,'liste reference'!$B$6:$Q$1245,9,0)),VLOOKUP($A26,'liste reference'!$A$6:$Q$1245,10,0)))</f>
        <v>4</v>
      </c>
      <c r="I26" s="321" t="n">
        <f aca="false">IF(A26="","",1)</f>
        <v>1</v>
      </c>
      <c r="J26" s="538" t="n">
        <f aca="false">IF(ISNUMBER($H26),IF(ISERROR(VLOOKUP($A26,'liste reference'!$A$6:$Q$1245,6,0)),IF(ISERROR(VLOOKUP($A26,'liste reference'!$B$6:$Q$1245,5,0)),"nu",VLOOKUP($A26,'liste reference'!$B$6:$Q$1245,5,0)),VLOOKUP($A26,'liste reference'!$A$6:$Q$1245,6,0)),"nu")</f>
        <v>15</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Chiloscyphus polyanthos</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1186</v>
      </c>
      <c r="R26" s="525" t="n">
        <f aca="false">IF(ISTEXT(H26),"",(B26*$B$7/100)+(C26*$C$7/100))</f>
        <v>0.373</v>
      </c>
      <c r="S26" s="526" t="n">
        <f aca="false">IF(OR(ISTEXT(H26),R26=0),"",IF(R26&lt;0.1,1,IF(R26&lt;1,2,IF(R26&lt;10,3,IF(R26&lt;50,4,IF(R26&gt;=50,5,""))))))</f>
        <v>2</v>
      </c>
      <c r="T26" s="526" t="n">
        <f aca="false">IF(ISERROR(S26*J26),0,S26*J26)</f>
        <v>30</v>
      </c>
      <c r="U26" s="526" t="n">
        <f aca="false">IF(ISERROR(S26*J26*K26),0,S26*J26*K26)</f>
        <v>60</v>
      </c>
      <c r="V26" s="542" t="n">
        <f aca="false">IF(ISERROR(S26*K26),0,S26*K26)</f>
        <v>4</v>
      </c>
      <c r="W26" s="543"/>
      <c r="X26" s="544"/>
      <c r="Y26" s="529" t="str">
        <f aca="false">IF(AND(ISNUMBER(F26),OR(A26="",A26="!!!!!!")),"!!!!!!",IF(A26="new.cod","NEWCOD",IF(AND((Z26=""),ISTEXT(A26),A26&lt;&gt;"!!!!!!"),A26,IF(Z26="","",INDEX('liste reference'!$A$6:$A$1245,Z26)))))</f>
        <v>CHIPOL</v>
      </c>
      <c r="Z26" s="511" t="n">
        <f aca="false">IF(ISERROR(MATCH(A26,'liste reference'!$A$6:$A$1245,0)),IF(ISERROR(MATCH(A26,'liste reference'!$B$6:$B$1245,0)),"",(MATCH(A26,'liste reference'!$B$6:$B$1245,0))),(MATCH(A26,'liste reference'!$A$6:$A$1245,0)))</f>
        <v>156</v>
      </c>
    </row>
    <row r="27" customFormat="false" ht="12.75" hidden="false" customHeight="false" outlineLevel="0" collapsed="false">
      <c r="A27" s="530" t="s">
        <v>684</v>
      </c>
      <c r="B27" s="531" t="n">
        <v>1.75</v>
      </c>
      <c r="C27" s="532" t="n">
        <v>0.75</v>
      </c>
      <c r="D27" s="533" t="str">
        <f aca="false">IF(ISERROR(VLOOKUP($A27,'liste reference'!$A$6:$B$1245,2,0)),IF(ISERROR(VLOOKUP($A27,'liste reference'!$B$6:$B$1245,1,0)),"",VLOOKUP($A27,'liste reference'!$B$6:$B$1245,1,0)),VLOOKUP($A27,'liste reference'!$A$6:$B$1245,2,0))</f>
        <v>Brachythecium rivulare</v>
      </c>
      <c r="E27" s="534" t="e">
        <f aca="false">IF(D27="",0,VLOOKUP(D27,D$22:D26,1,0))</f>
        <v>#N/A</v>
      </c>
      <c r="F27" s="535" t="n">
        <f aca="false">IF(AND(OR(A27="",A27="!!!!!!"),B27="",C27=""),"",IF(OR(AND(B27="",C27=""),ISERROR(C27+B27)),"!!!",($B27*$B$7+$C27*$C$7)/100))</f>
        <v>1.48</v>
      </c>
      <c r="G27" s="536" t="str">
        <f aca="false">IF(A27="","",IF(ISERROR(VLOOKUP($A27,'liste reference'!$A$6:$Q$1245,9,0)),IF(ISERROR(VLOOKUP($A27,'liste reference'!$B$6:$Q$1245,8,0)),"    -",VLOOKUP($A27,'liste reference'!$B$6:$Q$1245,8,0)),VLOOKUP($A27,'liste reference'!$A$6:$Q$1245,9,0)))</f>
        <v>BRm</v>
      </c>
      <c r="H27" s="537" t="n">
        <f aca="false">IF(A27="","x",IF(ISERROR(VLOOKUP($A27,'liste reference'!$A$6:$Q$1245,10,0)),IF(ISERROR(VLOOKUP($A27,'liste reference'!$B$6:$Q$1245,9,0)),"x",VLOOKUP($A27,'liste reference'!$B$6:$Q$1245,9,0)),VLOOKUP($A27,'liste reference'!$A$6:$Q$1245,10,0)))</f>
        <v>5</v>
      </c>
      <c r="I27" s="321" t="n">
        <f aca="false">IF(A27="","",1)</f>
        <v>1</v>
      </c>
      <c r="J27" s="538" t="n">
        <f aca="false">IF(ISNUMBER($H27),IF(ISERROR(VLOOKUP($A27,'liste reference'!$A$6:$Q$1245,6,0)),IF(ISERROR(VLOOKUP($A27,'liste reference'!$B$6:$Q$1245,5,0)),"nu",VLOOKUP($A27,'liste reference'!$B$6:$Q$1245,5,0)),VLOOKUP($A27,'liste reference'!$A$6:$Q$1245,6,0)),"nu")</f>
        <v>15</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Brachythecium rivulare</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1260</v>
      </c>
      <c r="R27" s="525" t="n">
        <f aca="false">IF(ISTEXT(H27),"",(B27*$B$7/100)+(C27*$C$7/100))</f>
        <v>1.48</v>
      </c>
      <c r="S27" s="526" t="n">
        <f aca="false">IF(OR(ISTEXT(H27),R27=0),"",IF(R27&lt;0.1,1,IF(R27&lt;1,2,IF(R27&lt;10,3,IF(R27&lt;50,4,IF(R27&gt;=50,5,""))))))</f>
        <v>3</v>
      </c>
      <c r="T27" s="526" t="n">
        <f aca="false">IF(ISERROR(S27*J27),0,S27*J27)</f>
        <v>45</v>
      </c>
      <c r="U27" s="526" t="n">
        <f aca="false">IF(ISERROR(S27*J27*K27),0,S27*J27*K27)</f>
        <v>90</v>
      </c>
      <c r="V27" s="542" t="n">
        <f aca="false">IF(ISERROR(S27*K27),0,S27*K27)</f>
        <v>6</v>
      </c>
      <c r="W27" s="543"/>
      <c r="X27" s="544"/>
      <c r="Y27" s="529" t="str">
        <f aca="false">IF(AND(ISNUMBER(F27),OR(A27="",A27="!!!!!!")),"!!!!!!",IF(A27="new.cod","NEWCOD",IF(AND((Z27=""),ISTEXT(A27),A27&lt;&gt;"!!!!!!"),A27,IF(Z27="","",INDEX('liste reference'!$A$6:$A$1245,Z27)))))</f>
        <v>BRARIV</v>
      </c>
      <c r="Z27" s="511" t="n">
        <f aca="false">IF(ISERROR(MATCH(A27,'liste reference'!$A$6:$A$1245,0)),IF(ISERROR(MATCH(A27,'liste reference'!$B$6:$B$1245,0)),"",(MATCH(A27,'liste reference'!$B$6:$B$1245,0))),(MATCH(A27,'liste reference'!$A$6:$A$1245,0)))</f>
        <v>222</v>
      </c>
    </row>
    <row r="28" customFormat="false" ht="12.75" hidden="false" customHeight="false" outlineLevel="0" collapsed="false">
      <c r="A28" s="530" t="s">
        <v>923</v>
      </c>
      <c r="B28" s="531" t="n">
        <v>0.02</v>
      </c>
      <c r="C28" s="532"/>
      <c r="D28" s="533" t="str">
        <f aca="false">IF(ISERROR(VLOOKUP($A28,'liste reference'!$A$6:$B$1245,2,0)),IF(ISERROR(VLOOKUP($A28,'liste reference'!$B$6:$B$1245,1,0)),"",VLOOKUP($A28,'liste reference'!$B$6:$B$1245,1,0)),VLOOKUP($A28,'liste reference'!$A$6:$B$1245,2,0))</f>
        <v>Fissidens viridulus</v>
      </c>
      <c r="E28" s="534" t="e">
        <f aca="false">IF(D28="",0,VLOOKUP(D28,D$22:D27,1,0))</f>
        <v>#N/A</v>
      </c>
      <c r="F28" s="535" t="n">
        <f aca="false">IF(AND(OR(A28="",A28="!!!!!!"),B28="",C28=""),"",IF(OR(AND(B28="",C28=""),ISERROR(C28+B28)),"!!!",($B28*$B$7+$C28*$C$7)/100))</f>
        <v>0.0146</v>
      </c>
      <c r="G28" s="536" t="str">
        <f aca="false">IF(A28="","",IF(ISERROR(VLOOKUP($A28,'liste reference'!$A$6:$Q$1245,9,0)),IF(ISERROR(VLOOKUP($A28,'liste reference'!$B$6:$Q$1245,8,0)),"    -",VLOOKUP($A28,'liste reference'!$B$6:$Q$1245,8,0)),VLOOKUP($A28,'liste reference'!$A$6:$Q$1245,9,0)))</f>
        <v>BRm</v>
      </c>
      <c r="H28" s="537" t="n">
        <f aca="false">IF(A28="","x",IF(ISERROR(VLOOKUP($A28,'liste reference'!$A$6:$Q$1245,10,0)),IF(ISERROR(VLOOKUP($A28,'liste reference'!$B$6:$Q$1245,9,0)),"x",VLOOKUP($A28,'liste reference'!$B$6:$Q$1245,9,0)),VLOOKUP($A28,'liste reference'!$A$6:$Q$1245,10,0)))</f>
        <v>5</v>
      </c>
      <c r="I28" s="321" t="n">
        <f aca="false">IF(A28="","",1)</f>
        <v>1</v>
      </c>
      <c r="J28" s="538" t="n">
        <f aca="false">IF(ISNUMBER($H28),IF(ISERROR(VLOOKUP($A28,'liste reference'!$A$6:$Q$1245,6,0)),IF(ISERROR(VLOOKUP($A28,'liste reference'!$B$6:$Q$1245,5,0)),"nu",VLOOKUP($A28,'liste reference'!$B$6:$Q$1245,5,0)),VLOOKUP($A28,'liste reference'!$A$6:$Q$1245,6,0)),"nu")</f>
        <v>11</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Fissidens viridulus</v>
      </c>
      <c r="M28" s="539"/>
      <c r="N28" s="539"/>
      <c r="O28" s="539"/>
      <c r="P28" s="540" t="s">
        <v>3640</v>
      </c>
      <c r="Q28" s="541" t="n">
        <f aca="false">IF(OR($A28="NEWCOD",$A28="!!!!!!"),IF(X28="","NoCod",X28),IF($A28="","",IF(ISERROR(VLOOKUP($A28,'liste reference'!$A$6:$H$1245,8,FALSE())),IF(ISERROR(VLOOKUP($A28,'liste reference'!$B$6:$H$1245,7,FALSE())),"",VLOOKUP($A28,'liste reference'!$B$6:$H$1245,7,FALSE())),VLOOKUP($A28,'liste reference'!$A$6:$H$1245,8,FALSE()))))</f>
        <v>1301</v>
      </c>
      <c r="R28" s="525" t="n">
        <f aca="false">IF(ISTEXT(H28),"",(B28*$B$7/100)+(C28*$C$7/100))</f>
        <v>0.0146</v>
      </c>
      <c r="S28" s="526" t="n">
        <f aca="false">IF(OR(ISTEXT(H28),R28=0),"",IF(R28&lt;0.1,1,IF(R28&lt;1,2,IF(R28&lt;10,3,IF(R28&lt;50,4,IF(R28&gt;=50,5,""))))))</f>
        <v>1</v>
      </c>
      <c r="T28" s="526" t="n">
        <f aca="false">IF(ISERROR(S28*J28),0,S28*J28)</f>
        <v>11</v>
      </c>
      <c r="U28" s="526" t="n">
        <f aca="false">IF(ISERROR(S28*J28*K28),0,S28*J28*K28)</f>
        <v>22</v>
      </c>
      <c r="V28" s="542" t="n">
        <f aca="false">IF(ISERROR(S28*K28),0,S28*K28)</f>
        <v>2</v>
      </c>
      <c r="W28" s="543"/>
      <c r="X28" s="544"/>
      <c r="Y28" s="529" t="str">
        <f aca="false">IF(AND(ISNUMBER(F28),OR(A28="",A28="!!!!!!")),"!!!!!!",IF(A28="new.cod","NEWCOD",IF(AND((Z28=""),ISTEXT(A28),A28&lt;&gt;"!!!!!!"),A28,IF(Z28="","",INDEX('liste reference'!$A$6:$A$1245,Z28)))))</f>
        <v>FISVIR</v>
      </c>
      <c r="Z28" s="511" t="n">
        <f aca="false">IF(ISERROR(MATCH(A28,'liste reference'!$A$6:$A$1245,0)),IF(ISERROR(MATCH(A28,'liste reference'!$B$6:$B$1245,0)),"",(MATCH(A28,'liste reference'!$B$6:$B$1245,0))),(MATCH(A28,'liste reference'!$A$6:$A$1245,0)))</f>
        <v>291</v>
      </c>
    </row>
    <row r="29" customFormat="false" ht="12.75" hidden="false" customHeight="false" outlineLevel="0" collapsed="false">
      <c r="A29" s="530" t="s">
        <v>928</v>
      </c>
      <c r="B29" s="531" t="n">
        <v>0.1</v>
      </c>
      <c r="C29" s="532" t="n">
        <v>0.2</v>
      </c>
      <c r="D29" s="533" t="str">
        <f aca="false">IF(ISERROR(VLOOKUP($A29,'liste reference'!$A$6:$B$1245,2,0)),IF(ISERROR(VLOOKUP($A29,'liste reference'!$B$6:$B$1245,1,0)),"",VLOOKUP($A29,'liste reference'!$B$6:$B$1245,1,0)),VLOOKUP($A29,'liste reference'!$A$6:$B$1245,2,0))</f>
        <v>Fontinalis antipyretica</v>
      </c>
      <c r="E29" s="534" t="e">
        <f aca="false">IF(D29="",0,VLOOKUP(D29,D$22:D28,1,0))</f>
        <v>#N/A</v>
      </c>
      <c r="F29" s="535" t="n">
        <f aca="false">IF(AND(OR(A29="",A29="!!!!!!"),B29="",C29=""),"",IF(OR(AND(B29="",C29=""),ISERROR(C29+B29)),"!!!",($B29*$B$7+$C29*$C$7)/100))</f>
        <v>0.127</v>
      </c>
      <c r="G29" s="536" t="str">
        <f aca="false">IF(A29="","",IF(ISERROR(VLOOKUP($A29,'liste reference'!$A$6:$Q$1245,9,0)),IF(ISERROR(VLOOKUP($A29,'liste reference'!$B$6:$Q$1245,8,0)),"    -",VLOOKUP($A29,'liste reference'!$B$6:$Q$1245,8,0)),VLOOKUP($A29,'liste reference'!$A$6:$Q$1245,9,0)))</f>
        <v>BRm</v>
      </c>
      <c r="H29" s="537" t="n">
        <f aca="false">IF(A29="","x",IF(ISERROR(VLOOKUP($A29,'liste reference'!$A$6:$Q$1245,10,0)),IF(ISERROR(VLOOKUP($A29,'liste reference'!$B$6:$Q$1245,9,0)),"x",VLOOKUP($A29,'liste reference'!$B$6:$Q$1245,9,0)),VLOOKUP($A29,'liste reference'!$A$6:$Q$1245,10,0)))</f>
        <v>5</v>
      </c>
      <c r="I29" s="321" t="n">
        <f aca="false">IF(A29="","",1)</f>
        <v>1</v>
      </c>
      <c r="J29" s="538" t="n">
        <f aca="false">IF(ISNUMBER($H29),IF(ISERROR(VLOOKUP($A29,'liste reference'!$A$6:$Q$1245,6,0)),IF(ISERROR(VLOOKUP($A29,'liste reference'!$B$6:$Q$1245,5,0)),"nu",VLOOKUP($A29,'liste reference'!$B$6:$Q$1245,5,0)),VLOOKUP($A29,'liste reference'!$A$6:$Q$1245,6,0)),"nu")</f>
        <v>10</v>
      </c>
      <c r="K29" s="538" t="n">
        <f aca="false">IF(ISNUMBER($H29),IF(ISERROR(VLOOKUP($A29,'liste reference'!$A$6:$Q$1245,7,0)),IF(ISERROR(VLOOKUP($A29,'liste reference'!$B$6:$Q$1245,6,0)),"nu",VLOOKUP($A29,'liste reference'!$B$6:$Q$1245,6,0)),VLOOKUP($A29,'liste reference'!$A$6:$Q$1245,7,0)),"nu")</f>
        <v>1</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Fontinalis antipyretica</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1310</v>
      </c>
      <c r="R29" s="525" t="n">
        <f aca="false">IF(ISTEXT(H29),"",(B29*$B$7/100)+(C29*$C$7/100))</f>
        <v>0.127</v>
      </c>
      <c r="S29" s="526" t="n">
        <f aca="false">IF(OR(ISTEXT(H29),R29=0),"",IF(R29&lt;0.1,1,IF(R29&lt;1,2,IF(R29&lt;10,3,IF(R29&lt;50,4,IF(R29&gt;=50,5,""))))))</f>
        <v>2</v>
      </c>
      <c r="T29" s="526" t="n">
        <f aca="false">IF(ISERROR(S29*J29),0,S29*J29)</f>
        <v>20</v>
      </c>
      <c r="U29" s="526" t="n">
        <f aca="false">IF(ISERROR(S29*J29*K29),0,S29*J29*K29)</f>
        <v>20</v>
      </c>
      <c r="V29" s="542" t="n">
        <f aca="false">IF(ISERROR(S29*K29),0,S29*K29)</f>
        <v>2</v>
      </c>
      <c r="W29" s="543"/>
      <c r="X29" s="544"/>
      <c r="Y29" s="529" t="str">
        <f aca="false">IF(AND(ISNUMBER(F29),OR(A29="",A29="!!!!!!")),"!!!!!!",IF(A29="new.cod","NEWCOD",IF(AND((Z29=""),ISTEXT(A29),A29&lt;&gt;"!!!!!!"),A29,IF(Z29="","",INDEX('liste reference'!$A$6:$A$1245,Z29)))))</f>
        <v>FONANT</v>
      </c>
      <c r="Z29" s="511" t="n">
        <f aca="false">IF(ISERROR(MATCH(A29,'liste reference'!$A$6:$A$1245,0)),IF(ISERROR(MATCH(A29,'liste reference'!$B$6:$B$1245,0)),"",(MATCH(A29,'liste reference'!$B$6:$B$1245,0))),(MATCH(A29,'liste reference'!$A$6:$A$1245,0)))</f>
        <v>292</v>
      </c>
    </row>
    <row r="30" customFormat="false" ht="12.75" hidden="false" customHeight="false" outlineLevel="0" collapsed="false">
      <c r="A30" s="530" t="s">
        <v>1126</v>
      </c>
      <c r="B30" s="531" t="n">
        <v>0.1</v>
      </c>
      <c r="C30" s="532" t="n">
        <v>0.03</v>
      </c>
      <c r="D30" s="533" t="str">
        <f aca="false">IF(ISERROR(VLOOKUP($A30,'liste reference'!$A$6:$B$1245,2,0)),IF(ISERROR(VLOOKUP($A30,'liste reference'!$B$6:$B$1245,1,0)),"",VLOOKUP($A30,'liste reference'!$B$6:$B$1245,1,0)),VLOOKUP($A30,'liste reference'!$A$6:$B$1245,2,0))</f>
        <v>Platyhypnidium riparioides</v>
      </c>
      <c r="E30" s="534" t="e">
        <f aca="false">IF(D30="",0,VLOOKUP(D30,D$22:D29,1,0))</f>
        <v>#N/A</v>
      </c>
      <c r="F30" s="535" t="n">
        <f aca="false">IF(AND(OR(A30="",A30="!!!!!!"),B30="",C30=""),"",IF(OR(AND(B30="",C30=""),ISERROR(C30+B30)),"!!!",($B30*$B$7+$C30*$C$7)/100))</f>
        <v>0.0811</v>
      </c>
      <c r="G30" s="536" t="str">
        <f aca="false">IF(A30="","",IF(ISERROR(VLOOKUP($A30,'liste reference'!$A$6:$Q$1245,9,0)),IF(ISERROR(VLOOKUP($A30,'liste reference'!$B$6:$Q$1245,8,0)),"    -",VLOOKUP($A30,'liste reference'!$B$6:$Q$1245,8,0)),VLOOKUP($A30,'liste reference'!$A$6:$Q$1245,9,0)))</f>
        <v>BRm</v>
      </c>
      <c r="H30" s="537" t="n">
        <f aca="false">IF(A30="","x",IF(ISERROR(VLOOKUP($A30,'liste reference'!$A$6:$Q$1245,10,0)),IF(ISERROR(VLOOKUP($A30,'liste reference'!$B$6:$Q$1245,9,0)),"x",VLOOKUP($A30,'liste reference'!$B$6:$Q$1245,9,0)),VLOOKUP($A30,'liste reference'!$A$6:$Q$1245,10,0)))</f>
        <v>5</v>
      </c>
      <c r="I30" s="321" t="n">
        <f aca="false">IF(A30="","",1)</f>
        <v>1</v>
      </c>
      <c r="J30" s="538" t="n">
        <f aca="false">IF(ISNUMBER($H30),IF(ISERROR(VLOOKUP($A30,'liste reference'!$A$6:$Q$1245,6,0)),IF(ISERROR(VLOOKUP($A30,'liste reference'!$B$6:$Q$1245,5,0)),"nu",VLOOKUP($A30,'liste reference'!$B$6:$Q$1245,5,0)),VLOOKUP($A30,'liste reference'!$A$6:$Q$1245,6,0)),"nu")</f>
        <v>12</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Platyhypnidium riparioides</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1246</v>
      </c>
      <c r="R30" s="525" t="n">
        <f aca="false">IF(ISTEXT(H30),"",(B30*$B$7/100)+(C30*$C$7/100))</f>
        <v>0.0811</v>
      </c>
      <c r="S30" s="526" t="n">
        <f aca="false">IF(OR(ISTEXT(H30),R30=0),"",IF(R30&lt;0.1,1,IF(R30&lt;1,2,IF(R30&lt;10,3,IF(R30&lt;50,4,IF(R30&gt;=50,5,""))))))</f>
        <v>1</v>
      </c>
      <c r="T30" s="526" t="n">
        <f aca="false">IF(ISERROR(S30*J30),0,S30*J30)</f>
        <v>12</v>
      </c>
      <c r="U30" s="526" t="n">
        <f aca="false">IF(ISERROR(S30*J30*K30),0,S30*J30*K30)</f>
        <v>12</v>
      </c>
      <c r="V30" s="542" t="n">
        <f aca="false">IF(ISERROR(S30*K30),0,S30*K30)</f>
        <v>1</v>
      </c>
      <c r="W30" s="543"/>
      <c r="X30" s="544"/>
      <c r="Y30" s="529" t="str">
        <f aca="false">IF(AND(ISNUMBER(F30),OR(A30="",A30="!!!!!!")),"!!!!!!",IF(A30="new.cod","NEWCOD",IF(AND((Z30=""),ISTEXT(A30),A30&lt;&gt;"!!!!!!"),A30,IF(Z30="","",INDEX('liste reference'!$A$6:$A$1245,Z30)))))</f>
        <v>PLTRIP</v>
      </c>
      <c r="Z30" s="511" t="n">
        <f aca="false">IF(ISERROR(MATCH(A30,'liste reference'!$A$6:$A$1245,0)),IF(ISERROR(MATCH(A30,'liste reference'!$B$6:$B$1245,0)),"",(MATCH(A30,'liste reference'!$B$6:$B$1245,0))),(MATCH(A30,'liste reference'!$A$6:$A$1245,0)))</f>
        <v>353</v>
      </c>
    </row>
    <row r="31" customFormat="false" ht="12.75" hidden="false" customHeight="false" outlineLevel="0" collapsed="false">
      <c r="A31" s="530" t="s">
        <v>1246</v>
      </c>
      <c r="B31" s="531" t="n">
        <v>0.2</v>
      </c>
      <c r="C31" s="532" t="n">
        <v>0.1</v>
      </c>
      <c r="D31" s="533" t="str">
        <f aca="false">IF(ISERROR(VLOOKUP($A31,'liste reference'!$A$6:$B$1245,2,0)),IF(ISERROR(VLOOKUP($A31,'liste reference'!$B$6:$B$1245,1,0)),"",VLOOKUP($A31,'liste reference'!$B$6:$B$1245,1,0)),VLOOKUP($A31,'liste reference'!$A$6:$B$1245,2,0))</f>
        <v>Thamnobryum alopecurum</v>
      </c>
      <c r="E31" s="534" t="e">
        <f aca="false">IF(D31="",0,VLOOKUP(D31,D$22:D30,1,0))</f>
        <v>#N/A</v>
      </c>
      <c r="F31" s="535" t="n">
        <f aca="false">IF(AND(OR(A31="",A31="!!!!!!"),B31="",C31=""),"",IF(OR(AND(B31="",C31=""),ISERROR(C31+B31)),"!!!",($B31*$B$7+$C31*$C$7)/100))</f>
        <v>0.173</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15</v>
      </c>
      <c r="K31" s="538" t="n">
        <f aca="false">IF(ISNUMBER($H31),IF(ISERROR(VLOOKUP($A31,'liste reference'!$A$6:$Q$1245,7,0)),IF(ISERROR(VLOOKUP($A31,'liste reference'!$B$6:$Q$1245,6,0)),"nu",VLOOKUP($A31,'liste reference'!$B$6:$Q$1245,6,0)),VLOOKUP($A31,'liste reference'!$A$6:$Q$1245,7,0)),"nu")</f>
        <v>2</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Thamnobryum alopecurum</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1344</v>
      </c>
      <c r="R31" s="525" t="n">
        <f aca="false">IF(ISTEXT(H31),"",(B31*$B$7/100)+(C31*$C$7/100))</f>
        <v>0.173</v>
      </c>
      <c r="S31" s="526" t="n">
        <f aca="false">IF(OR(ISTEXT(H31),R31=0),"",IF(R31&lt;0.1,1,IF(R31&lt;1,2,IF(R31&lt;10,3,IF(R31&lt;50,4,IF(R31&gt;=50,5,""))))))</f>
        <v>2</v>
      </c>
      <c r="T31" s="526" t="n">
        <f aca="false">IF(ISERROR(S31*J31),0,S31*J31)</f>
        <v>30</v>
      </c>
      <c r="U31" s="526" t="n">
        <f aca="false">IF(ISERROR(S31*J31*K31),0,S31*J31*K31)</f>
        <v>60</v>
      </c>
      <c r="V31" s="542" t="n">
        <f aca="false">IF(ISERROR(S31*K31),0,S31*K31)</f>
        <v>4</v>
      </c>
      <c r="W31" s="543"/>
      <c r="X31" s="544"/>
      <c r="Y31" s="529" t="str">
        <f aca="false">IF(AND(ISNUMBER(F31),OR(A31="",A31="!!!!!!")),"!!!!!!",IF(A31="new.cod","NEWCOD",IF(AND((Z31=""),ISTEXT(A31),A31&lt;&gt;"!!!!!!"),A31,IF(Z31="","",INDEX('liste reference'!$A$6:$A$1245,Z31)))))</f>
        <v>THAALO</v>
      </c>
      <c r="Z31" s="511" t="n">
        <f aca="false">IF(ISERROR(MATCH(A31,'liste reference'!$A$6:$A$1245,0)),IF(ISERROR(MATCH(A31,'liste reference'!$B$6:$B$1245,0)),"",(MATCH(A31,'liste reference'!$B$6:$B$1245,0))),(MATCH(A31,'liste reference'!$A$6:$A$1245,0)))</f>
        <v>390</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2.91453</v>
      </c>
      <c r="G83" s="464"/>
      <c r="H83" s="464"/>
      <c r="I83" s="464"/>
      <c r="J83" s="464"/>
      <c r="K83" s="464"/>
      <c r="L83" s="464"/>
      <c r="M83" s="526"/>
      <c r="N83" s="526"/>
      <c r="O83" s="526"/>
      <c r="P83" s="526"/>
      <c r="Q83" s="526"/>
      <c r="R83" s="526"/>
      <c r="S83" s="526"/>
      <c r="T83" s="526"/>
      <c r="U83" s="526"/>
      <c r="V83" s="526" t="n">
        <f aca="false">SUM(V23:V82)</f>
        <v>29</v>
      </c>
      <c r="W83" s="526"/>
      <c r="X83" s="564"/>
      <c r="Y83" s="564"/>
      <c r="Z83" s="565"/>
    </row>
    <row r="84" customFormat="false" ht="12.75" hidden="true" customHeight="false" outlineLevel="0" collapsed="false">
      <c r="A84" s="559" t="str">
        <f aca="false">A3</f>
        <v>Boulzane</v>
      </c>
      <c r="B84" s="493" t="str">
        <f aca="false">C3</f>
        <v>Montfort-sur-Boulzane</v>
      </c>
      <c r="C84" s="566" t="str">
        <f aca="false">A4</f>
        <v>(Date)</v>
      </c>
      <c r="D84" s="567" t="n">
        <f aca="false">IF(OR(ISERROR(SUM($U$23:$U$82)/SUM($V$23:$V$82)),F7&lt;&gt;100),-1,SUM($U$23:$U$82)/SUM($V$23:$V$82))</f>
        <v>14.1379310344828</v>
      </c>
      <c r="E84" s="568" t="n">
        <f aca="false">O13</f>
        <v>9</v>
      </c>
      <c r="F84" s="493" t="n">
        <f aca="false">O14</f>
        <v>9</v>
      </c>
      <c r="G84" s="493" t="n">
        <f aca="false">O15</f>
        <v>2</v>
      </c>
      <c r="H84" s="493" t="n">
        <f aca="false">O16</f>
        <v>7</v>
      </c>
      <c r="I84" s="493" t="n">
        <f aca="false">O17</f>
        <v>0</v>
      </c>
      <c r="J84" s="569" t="n">
        <f aca="false">O8</f>
        <v>13.4444444444444</v>
      </c>
      <c r="K84" s="570" t="n">
        <f aca="false">O9</f>
        <v>1.89215404065849</v>
      </c>
      <c r="L84" s="571" t="n">
        <f aca="false">O10</f>
        <v>10</v>
      </c>
      <c r="M84" s="571" t="n">
        <f aca="false">O11</f>
        <v>15</v>
      </c>
      <c r="N84" s="570" t="n">
        <f aca="false">P8</f>
        <v>1.77777777777778</v>
      </c>
      <c r="O84" s="570" t="n">
        <f aca="false">P9</f>
        <v>0.415739709641549</v>
      </c>
      <c r="P84" s="571" t="n">
        <f aca="false">P10</f>
        <v>1</v>
      </c>
      <c r="Q84" s="571" t="n">
        <f aca="false">P11</f>
        <v>2</v>
      </c>
      <c r="R84" s="571" t="n">
        <f aca="false">F21</f>
        <v>2.91453</v>
      </c>
      <c r="S84" s="571" t="n">
        <f aca="false">L11</f>
        <v>0</v>
      </c>
      <c r="T84" s="571" t="n">
        <f aca="false">L12</f>
        <v>3</v>
      </c>
      <c r="U84" s="571" t="n">
        <f aca="false">L13</f>
        <v>6</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45</v>
      </c>
      <c r="U87" s="321"/>
      <c r="V87" s="321"/>
    </row>
    <row r="88" customFormat="false" ht="12.75" hidden="true" customHeight="false" outlineLevel="0" collapsed="false">
      <c r="C88" s="575"/>
      <c r="D88" s="575"/>
      <c r="E88" s="575"/>
      <c r="R88" s="321" t="s">
        <v>3622</v>
      </c>
      <c r="S88" s="321"/>
      <c r="T88" s="577" t="n">
        <f aca="false">VLOOKUP($T$91,($A$23:$U$82),21,FALSE())</f>
        <v>90</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13.9130434782609</v>
      </c>
      <c r="U90" s="321" t="n">
        <f aca="false">IF(ISERROR(T90),0,1)</f>
        <v>1</v>
      </c>
    </row>
    <row r="91" customFormat="false" ht="12.75" hidden="true" customHeight="false" outlineLevel="0" collapsed="false">
      <c r="C91" s="575"/>
      <c r="D91" s="575"/>
      <c r="E91" s="575"/>
      <c r="R91" s="526" t="s">
        <v>3626</v>
      </c>
      <c r="S91" s="526"/>
      <c r="T91" s="526" t="str">
        <f aca="false">INDEX('liste reference'!$A$6:$A$1245,$U$91)</f>
        <v>BRARIV</v>
      </c>
      <c r="U91" s="321" t="n">
        <f aca="false">IF(ISERROR(MATCH($T$93,'liste reference'!$A$6:$A$1245,0)),MATCH($T$93,'liste reference'!$B$6:$B$1245,0),(MATCH($T$93,'liste reference'!$A$6:$A$1245,0)))</f>
        <v>222</v>
      </c>
      <c r="V91" s="579"/>
    </row>
    <row r="92" customFormat="false" ht="12.75" hidden="true" customHeight="false" outlineLevel="0" collapsed="false">
      <c r="C92" s="575"/>
      <c r="D92" s="575"/>
      <c r="E92" s="575"/>
      <c r="R92" s="321" t="s">
        <v>3627</v>
      </c>
      <c r="S92" s="321"/>
      <c r="T92" s="321" t="n">
        <f aca="false">MATCH(T89,$V$23:$V$82,0)</f>
        <v>5</v>
      </c>
      <c r="U92" s="321"/>
    </row>
    <row r="93" customFormat="false" ht="12.75" hidden="true" customHeight="false" outlineLevel="0" collapsed="false">
      <c r="C93" s="575"/>
      <c r="D93" s="575"/>
      <c r="E93" s="575"/>
      <c r="R93" s="526" t="s">
        <v>3628</v>
      </c>
      <c r="S93" s="321"/>
      <c r="T93" s="526" t="str">
        <f aca="false">INDEX($A$23:$A$82,$T$92)</f>
        <v>BRARIV</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3641</v>
      </c>
      <c r="B1" s="582"/>
      <c r="C1" s="582"/>
      <c r="D1" s="582"/>
      <c r="E1" s="583" t="s">
        <v>3642</v>
      </c>
      <c r="F1" s="584" t="s">
        <v>3643</v>
      </c>
      <c r="G1" s="585"/>
    </row>
    <row r="2" customFormat="false" ht="15" hidden="false" customHeight="false" outlineLevel="0" collapsed="false">
      <c r="A2" s="586" t="s">
        <v>3644</v>
      </c>
      <c r="B2" s="587"/>
      <c r="C2" s="588"/>
      <c r="D2" s="588"/>
      <c r="E2" s="583"/>
      <c r="F2" s="584" t="s">
        <v>3645</v>
      </c>
      <c r="G2" s="585"/>
    </row>
    <row r="3" customFormat="false" ht="15.75" hidden="false" customHeight="false" outlineLevel="0" collapsed="false">
      <c r="A3" s="586" t="s">
        <v>3646</v>
      </c>
      <c r="B3" s="587"/>
      <c r="C3" s="588"/>
      <c r="D3" s="589" t="s">
        <v>3647</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3648</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3649</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3656</v>
      </c>
      <c r="G23" s="8"/>
      <c r="H23" s="613" t="s">
        <v>3656</v>
      </c>
      <c r="I23" s="614"/>
    </row>
    <row r="24" customFormat="false" ht="15" hidden="false" customHeight="false" outlineLevel="0" collapsed="false">
      <c r="A24" s="601"/>
      <c r="B24" s="604" t="s">
        <v>3143</v>
      </c>
      <c r="C24" s="605"/>
      <c r="D24" s="606"/>
      <c r="F24" s="613" t="s">
        <v>3636</v>
      </c>
      <c r="G24" s="8"/>
      <c r="H24" s="613" t="s">
        <v>3636</v>
      </c>
      <c r="I24" s="614"/>
    </row>
    <row r="25" customFormat="false" ht="15" hidden="false" customHeight="false" outlineLevel="0" collapsed="false">
      <c r="A25" s="601"/>
      <c r="B25" s="604" t="s">
        <v>1385</v>
      </c>
      <c r="C25" s="605"/>
      <c r="D25" s="606"/>
      <c r="F25" s="613" t="s">
        <v>3657</v>
      </c>
      <c r="G25" s="8"/>
      <c r="H25" s="613" t="s">
        <v>3657</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3640</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3639</v>
      </c>
    </row>
    <row r="39" customFormat="false" ht="15" hidden="false" customHeight="false" outlineLevel="0" collapsed="false">
      <c r="A39" s="601"/>
      <c r="B39" s="604" t="s">
        <v>3153</v>
      </c>
      <c r="C39" s="605"/>
      <c r="D39" s="606"/>
      <c r="F39" s="621" t="s">
        <v>3663</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2015-05-11T09:57:24Z</dcterms:modified>
  <cp:revision>0</cp:revision>
  <dc:subject/>
  <dc:title>Feuille d'aide au calcul de l'IBMR</dc:title>
</cp:coreProperties>
</file>