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3500" sheetId="6" state="visible" r:id="rId8"/>
    <sheet name="jgjg" sheetId="7" state="hidden" r:id="rId9"/>
    <sheet name="liste codes réf" sheetId="8" state="hidden" r:id="rId10"/>
  </sheets>
  <definedNames>
    <definedName function="false" hidden="false" localSheetId="5" name="_xlnm.Print_Area" vbProcedure="false">'06173500'!$A$1:$Q$82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'06173500'!$A$1:$Q$82</definedName>
    <definedName function="false" hidden="false" localSheetId="5" name="_xlnm__FilterDatabase" vbProcedure="false">'06173500'!$A$1:$C$1415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<sst xmlns="http://schemas.openxmlformats.org/spreadsheetml/2006/main" count="8855" uniqueCount="3498">
  <si>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</si>
  <si>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</si>
  <si>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</si>
  <si>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</si>
  <si>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</si>
  <si>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</si>
  <si>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</si>
  <si>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</si>
  <si>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</si>
  <si>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</si>
  <si>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</si>
  <si>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</si>
  <si>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</si>
  <si>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</si>
  <si>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</si>
  <si>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</si>
  <si>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</si>
  <si>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</si>
  <si>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</si>
  <si>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</si>
  <si>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</si>
  <si>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</si>
  <si>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</si>
  <si>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</si>
  <si>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</si>
  <si>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</si>
  <si>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</si>
  <si>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</si>
  <si>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</si>
  <si>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</si>
  <si>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</si>
  <si>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</si>
  <si>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</si>
  <si>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</si>
  <si>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</si>
  <si>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</si>
  <si>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</si>
  <si>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</si>
  <si>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</si>
  <si>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</si>
  <si>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</si>
  <si>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</si>
  <si>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</si>
  <si>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</si>
  <si>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</si>
  <si>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</si>
  <si>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</si>
  <si>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</si>
  <si>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</si>
  <si>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</si>
  <si>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</si>
  <si>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</si>
  <si>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</si>
  <si>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</si>
  <si>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</si>
  <si>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</si>
  <si>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</si>
  <si>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</si>
  <si>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</si>
  <si>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</si>
  <si>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</si>
  <si>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</si>
  <si>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</si>
  <si>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</si>
  <si>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</si>
  <si>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</si>
  <si>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</si>
  <si>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</si>
  <si>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</si>
  <si>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</si>
  <si>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</si>
  <si>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</si>
  <si>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</si>
  <si>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</si>
  <si>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</si>
  <si>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</si>
  <si>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</si>
  <si>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</si>
  <si>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</si>
  <si>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</si>
  <si>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</si>
  <si>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</si>
  <si>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</si>
  <si>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</si>
  <si>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</si>
  <si>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</si>
  <si>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</si>
  <si>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</si>
  <si>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</si>
  <si>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</si>
  <si>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</si>
  <si>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</si>
  <si>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</si>
  <si>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</si>
  <si>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</si>
  <si>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</si>
  <si>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</si>
  <si>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</si>
  <si>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</si>
  <si>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</si>
  <si>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</si>
  <si>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</si>
  <si>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</si>
  <si>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</si>
  <si>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</si>
  <si>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</si>
  <si>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</si>
  <si>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</si>
  <si>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</si>
  <si>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</si>
  <si>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</si>
  <si>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</si>
  <si>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</si>
  <si>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</si>
  <si>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</si>
  <si>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</si>
  <si>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</si>
  <si>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</si>
  <si>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</si>
  <si>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</si>
  <si>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</si>
  <si>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</si>
  <si>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</si>
  <si>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</si>
  <si>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</si>
  <si>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</si>
  <si>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</si>
  <si>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</si>
  <si>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</si>
  <si>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</si>
  <si>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</si>
  <si>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</si>
  <si>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</si>
  <si>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</si>
  <si>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</si>
  <si>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</si>
  <si>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</si>
  <si>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</si>
  <si>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</si>
  <si>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</si>
  <si>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</si>
  <si>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</si>
  <si>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</si>
  <si>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</si>
  <si>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</si>
  <si>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</si>
  <si>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</si>
  <si>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</si>
  <si>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</si>
  <si>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</si>
  <si>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</si>
  <si>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</si>
  <si>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</si>
  <si>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</si>
  <si>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</si>
  <si>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</si>
  <si>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</si>
  <si>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</si>
  <si>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</si>
  <si>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</si>
  <si>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</si>
  <si>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</si>
  <si>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</si>
  <si>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</si>
  <si>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</si>
  <si>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</si>
  <si>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</si>
  <si>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</si>
  <si>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</si>
  <si>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</si>
  <si>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</si>
  <si>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</si>
  <si>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</si>
  <si>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</si>
  <si>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</si>
  <si>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</si>
  <si>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</si>
  <si>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</si>
  <si>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</si>
  <si>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</si>
  <si>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</si>
  <si>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</si>
  <si>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</si>
  <si>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</si>
  <si>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</si>
  <si>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</si>
  <si>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</si>
  <si>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</si>
  <si>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</si>
  <si>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</si>
  <si>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</si>
  <si>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</si>
  <si>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</si>
  <si>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</si>
  <si>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</si>
  <si>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</si>
  <si>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</si>
  <si>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</si>
  <si>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</si>
  <si>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</si>
  <si>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</si>
  <si>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</si>
  <si>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</si>
  <si>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</si>
  <si>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</si>
  <si>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</si>
  <si>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</si>
  <si>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</si>
  <si>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</si>
  <si>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</si>
  <si>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</si>
  <si>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</si>
  <si>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</si>
  <si>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</si>
  <si>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</si>
  <si>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</si>
  <si>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</si>
  <si>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</si>
  <si>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</si>
  <si>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</si>
  <si>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</si>
  <si>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</si>
  <si>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</si>
  <si>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</si>
  <si>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</si>
  <si>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</si>
  <si>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</si>
  <si>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</si>
  <si>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</si>
  <si>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</si>
  <si>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</si>
  <si>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</si>
  <si>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</si>
  <si>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</si>
  <si>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</si>
  <si>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</si>
  <si>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</si>
  <si>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</si>
  <si>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</si>
  <si>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</si>
  <si>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</si>
  <si>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</si>
  <si>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</si>
  <si>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</si>
  <si>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</si>
  <si>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</si>
  <si>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</si>
  <si>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</si>
  <si>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</si>
  <si>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</si>
  <si>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</si>
  <si>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</si>
  <si>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</si>
  <si>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</si>
  <si>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</si>
  <si>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</si>
  <si>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</si>
  <si>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</si>
  <si>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</si>
  <si>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</si>
  <si>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</si>
  <si>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</si>
  <si>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</si>
  <si>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</si>
  <si>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</si>
  <si>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</si>
  <si>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</si>
  <si>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</si>
  <si>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</si>
  <si>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</si>
  <si>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</si>
  <si>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</si>
  <si>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</si>
  <si>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</si>
  <si>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</si>
  <si>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</si>
  <si>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</si>
  <si>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</si>
  <si>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</si>
  <si>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</si>
  <si>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</si>
  <si>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</si>
  <si>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</si>
  <si>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</si>
  <si>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</si>
  <si>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</si>
  <si>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</si>
  <si>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</si>
  <si>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</si>
  <si>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</si>
  <si>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</si>
  <si>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</si>
  <si>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</si>
  <si>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</si>
  <si>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</si>
  <si>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</si>
  <si>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</si>
  <si>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</si>
  <si>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</si>
  <si>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</si>
  <si>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</si>
  <si>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</si>
  <si>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</si>
  <si>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</si>
  <si>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</si>
  <si>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</si>
  <si>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</si>
  <si>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</si>
  <si>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</si>
  <si>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</si>
  <si>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</si>
  <si>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</si>
  <si>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</si>
  <si>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</si>
  <si>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</si>
  <si>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</si>
  <si>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</si>
  <si>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</si>
  <si>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</si>
  <si>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</si>
  <si>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</si>
  <si>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</si>
  <si>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</si>
  <si>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</si>
  <si>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</si>
  <si>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</si>
  <si>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</si>
  <si>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</si>
  <si>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</si>
  <si>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</si>
  <si>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</si>
  <si>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</si>
  <si>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</si>
  <si>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</si>
  <si>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</si>
  <si>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</si>
  <si>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</si>
  <si>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</si>
  <si>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</si>
  <si>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</si>
  <si>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</si>
  <si>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</si>
  <si>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</si>
  <si>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</si>
  <si>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</si>
  <si>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</si>
  <si>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</si>
  <si>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</si>
  <si>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</si>
  <si>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</si>
  <si>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</si>
  <si>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</si>
  <si>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</si>
  <si>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</si>
  <si>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</si>
  <si>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</si>
  <si>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</si>
  <si>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</si>
  <si>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</si>
  <si>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</si>
  <si>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</si>
  <si>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</si>
  <si>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</si>
  <si>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</si>
  <si>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</si>
  <si>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</si>
  <si>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</si>
  <si>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</si>
  <si>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</si>
  <si>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</si>
  <si>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</si>
  <si>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</si>
  <si>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</si>
  <si>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</si>
  <si>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</si>
  <si>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</si>
  <si>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</si>
  <si>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</si>
  <si>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</si>
  <si>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</si>
  <si>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</si>
  <si>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</si>
  <si>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</si>
  <si>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</si>
  <si>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</si>
  <si>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</si>
  <si>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</si>
  <si>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</si>
  <si>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</si>
  <si>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</si>
  <si>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</si>
  <si>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</si>
  <si>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</si>
  <si>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</si>
  <si>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</si>
  <si>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</si>
  <si>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</si>
  <si>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</si>
  <si>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</si>
  <si>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</si>
  <si>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</si>
  <si>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</si>
  <si>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</si>
  <si>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</si>
  <si>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</si>
  <si>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</si>
  <si>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</si>
  <si>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</si>
  <si>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</si>
  <si>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</si>
  <si>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</si>
  <si>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</si>
  <si>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</si>
  <si>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</si>
  <si>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</si>
  <si>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</si>
  <si>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</si>
  <si>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</si>
  <si>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</si>
  <si>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</si>
  <si>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</si>
  <si>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</si>
  <si>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</si>
  <si>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</si>
  <si>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</si>
  <si>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</si>
  <si>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</si>
  <si>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</si>
  <si>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</si>
  <si>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</si>
  <si>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</si>
  <si>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</si>
  <si>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</si>
  <si>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</si>
  <si>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</si>
  <si>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</si>
  <si>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</si>
  <si>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</si>
  <si>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</si>
  <si>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</si>
  <si>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</si>
  <si>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</si>
  <si>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</si>
  <si>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</si>
  <si>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</si>
  <si>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</si>
  <si>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</si>
  <si>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</si>
  <si>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</si>
  <si>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</si>
  <si>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</si>
  <si>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</si>
  <si>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</si>
  <si>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</si>
  <si>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</si>
  <si>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</si>
  <si>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</si>
  <si>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</si>
  <si>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</si>
  <si>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</si>
  <si>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</si>
  <si>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</si>
  <si>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</si>
  <si>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</si>
  <si>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</si>
  <si>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</si>
  <si>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</si>
  <si>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</si>
  <si>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</si>
  <si>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</si>
  <si>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</si>
  <si>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</si>
  <si>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</si>
  <si>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</si>
  <si>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</si>
  <si>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</si>
  <si>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</si>
  <si>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</si>
  <si>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</si>
  <si>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</si>
  <si>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</si>
  <si>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</si>
  <si>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</si>
  <si>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</si>
  <si>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</si>
  <si>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</si>
  <si>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</si>
  <si>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</si>
  <si>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</si>
  <si>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</si>
  <si>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</si>
  <si>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</si>
  <si>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</si>
  <si>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</si>
  <si>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</si>
  <si>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</si>
  <si>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</si>
  <si>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</si>
  <si>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</si>
  <si>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</si>
  <si>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</si>
  <si>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</si>
  <si>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</si>
  <si>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</si>
  <si>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</si>
  <si>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</si>
  <si>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</si>
  <si>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</si>
  <si>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</si>
  <si>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</si>
  <si>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</si>
  <si>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</si>
  <si>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</si>
  <si>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</si>
  <si>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</si>
  <si>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</si>
  <si>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</si>
  <si>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</si>
  <si>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</si>
  <si>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</si>
  <si>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</si>
  <si>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</si>
  <si>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</si>
  <si>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</si>
  <si>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</si>
  <si>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</si>
  <si>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</si>
  <si>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</si>
  <si>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</si>
  <si>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</si>
  <si>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</si>
  <si>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</si>
  <si>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</si>
  <si>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</si>
  <si>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</si>
  <si>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</si>
  <si>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</si>
  <si>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</si>
  <si>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</si>
  <si>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</si>
  <si>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</si>
  <si>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</si>
  <si>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</si>
  <si>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</si>
  <si>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</si>
  <si>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</si>
  <si>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</si>
  <si>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</si>
  <si>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</si>
  <si>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</si>
  <si>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</si>
  <si>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</si>
  <si>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</si>
  <si>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</si>
  <si>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</si>
  <si>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</si>
  <si>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</si>
  <si>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</si>
  <si>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</si>
  <si>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</si>
  <si>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</si>
  <si>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</si>
  <si>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</si>
  <si>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</si>
  <si>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</si>
  <si>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</si>
  <si>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</si>
  <si>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</si>
  <si>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</si>
  <si>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</si>
  <si>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</si>
  <si>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</si>
  <si>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</si>
  <si>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</si>
  <si>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</si>
  <si>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</si>
  <si>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</si>
  <si>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</si>
  <si>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</si>
  <si>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</si>
  <si>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</si>
  <si>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</si>
  <si>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</si>
  <si>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</si>
  <si>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</si>
  <si>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</si>
  <si>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</si>
  <si>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</si>
  <si>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</si>
  <si>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</si>
  <si>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</si>
  <si>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</si>
  <si>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</si>
  <si>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</si>
  <si>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</si>
  <si>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</si>
  <si>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</si>
  <si>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</si>
  <si>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</si>
  <si>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</si>
  <si>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</si>
  <si>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</si>
  <si>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</si>
  <si>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</si>
  <si>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</si>
  <si>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</si>
  <si>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</si>
  <si>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</si>
  <si>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</si>
  <si>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</si>
  <si>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</si>
  <si>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</si>
  <si>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</si>
  <si>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</si>
  <si>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</si>
  <si>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</si>
  <si>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</si>
  <si>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</si>
  <si>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</si>
  <si>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</si>
  <si>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</si>
  <si>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</si>
  <si>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</si>
  <si>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</si>
  <si>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</si>
  <si>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</si>
  <si>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</si>
  <si>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</si>
  <si>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</si>
  <si>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</si>
  <si>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</si>
  <si>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</si>
  <si>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</si>
  <si>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</si>
  <si>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</si>
  <si>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</si>
  <si>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</si>
  <si>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</si>
  <si>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</si>
  <si>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</si>
  <si>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</si>
  <si>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</si>
  <si>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</si>
  <si>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</si>
  <si>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</si>
  <si>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</si>
  <si>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</si>
  <si>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</si>
  <si>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</si>
  <si>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</si>
  <si>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</si>
  <si>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</si>
  <si>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</si>
  <si>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</si>
  <si>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</si>
  <si>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</si>
  <si>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</si>
  <si>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</si>
  <si>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</si>
  <si>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</si>
  <si>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</si>
  <si>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</si>
  <si>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</si>
  <si>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</si>
  <si>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</si>
  <si>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</si>
  <si>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</si>
  <si>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</si>
  <si>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</si>
  <si>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</si>
  <si>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</si>
  <si>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</si>
  <si>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</si>
  <si>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</si>
  <si>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</si>
  <si>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</si>
  <si>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</si>
  <si>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</si>
  <si>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</si>
  <si>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</si>
  <si>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</si>
  <si>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</si>
  <si>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</si>
  <si>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</si>
  <si>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</si>
  <si>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</si>
  <si>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</si>
  <si>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</si>
  <si>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</si>
  <si>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</si>
  <si>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</si>
  <si>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</si>
  <si>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</si>
  <si>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</si>
  <si>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</si>
  <si>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</si>
  <si>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</si>
  <si>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</si>
  <si>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</si>
  <si>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</si>
  <si>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</si>
  <si>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</si>
  <si>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</si>
  <si>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</si>
  <si>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</si>
  <si>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</si>
  <si>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</si>
  <si>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</si>
  <si>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</si>
  <si>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</si>
  <si>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</si>
  <si>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</si>
  <si>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</si>
  <si>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</si>
  <si>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</si>
  <si>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</si>
  <si>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</si>
  <si>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</si>
  <si>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</si>
  <si>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</si>
  <si>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</si>
  <si>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</si>
  <si>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</si>
  <si>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</si>
  <si>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</si>
  <si>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</si>
  <si>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</si>
  <si>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</si>
  <si>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</si>
  <si>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</si>
  <si>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</si>
  <si>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</si>
  <si>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</si>
  <si>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</si>
  <si>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</si>
  <si>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</si>
  <si>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</si>
  <si>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</si>
  <si>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</si>
  <si>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</si>
  <si>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</si>
  <si>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</si>
  <si>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</si>
  <si>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</si>
  <si>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</si>
  <si>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</si>
  <si>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</si>
  <si>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</si>
  <si>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</si>
  <si>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</si>
  <si>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</si>
  <si>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</si>
  <si>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</si>
  <si>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</si>
  <si>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</si>
  <si>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</si>
  <si>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</si>
  <si>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</si>
  <si>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</si>
  <si>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</si>
  <si>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</si>
  <si>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</si>
  <si>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</si>
  <si>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</si>
  <si>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</si>
  <si>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</si>
  <si>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</si>
  <si>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</si>
  <si>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</si>
  <si>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</si>
  <si>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</si>
  <si>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</si>
  <si>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</si>
  <si>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</si>
  <si>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</si>
  <si>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</si>
  <si>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</si>
  <si>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</si>
  <si>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</si>
  <si>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</si>
  <si>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</si>
  <si>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</si>
  <si>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</si>
  <si>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</si>
  <si>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</si>
  <si>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</si>
  <si>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</si>
  <si>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</si>
  <si>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</si>
  <si>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</si>
  <si>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</si>
  <si>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</si>
  <si>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</si>
  <si>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</si>
  <si>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</si>
  <si>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</si>
  <si>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</si>
  <si>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</si>
  <si>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</si>
  <si>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</si>
  <si>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</si>
  <si>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</si>
  <si>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</si>
  <si>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</si>
  <si>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</si>
  <si>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</si>
  <si>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</si>
  <si>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</si>
  <si>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</si>
  <si>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</si>
  <si>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</si>
  <si>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</si>
  <si>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</si>
  <si>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</si>
  <si>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</si>
  <si>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</si>
  <si>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</si>
  <si>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</si>
  <si>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</si>
  <si>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</si>
  <si>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</si>
  <si>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</si>
  <si>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</si>
  <si>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</si>
  <si>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</si>
  <si>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</si>
  <si>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</si>
  <si>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</si>
  <si>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</si>
  <si>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</si>
  <si>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</si>
  <si>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</si>
  <si>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</si>
  <si>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</si>
  <si>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</si>
  <si>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</si>
  <si>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</si>
  <si>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</si>
  <si>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</si>
  <si>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</si>
  <si>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</si>
  <si>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</si>
  <si>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</si>
  <si>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</si>
  <si>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</si>
  <si>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</si>
  <si>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</si>
  <si>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</si>
  <si>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</si>
  <si>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</si>
  <si>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</si>
  <si>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</si>
  <si>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</si>
  <si>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</si>
  <si>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</si>
  <si>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</si>
  <si>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</si>
  <si>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</si>
  <si>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</si>
  <si>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</si>
  <si>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</si>
  <si>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</si>
  <si>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</si>
  <si>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</si>
  <si>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</si>
  <si>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</si>
  <si>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</si>
  <si>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</si>
  <si>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</si>
  <si>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</si>
  <si>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</si>
  <si>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</si>
  <si>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</si>
  <si>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</si>
  <si>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</si>
  <si>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</si>
  <si>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</si>
  <si>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</si>
  <si>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</si>
  <si>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</si>
  <si>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</si>
  <si>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</si>
  <si>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</si>
  <si>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</si>
  <si>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</si>
  <si>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</si>
  <si>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</si>
  <si>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</si>
  <si>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</si>
  <si>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</si>
  <si>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</si>
  <si>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</si>
  <si>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</si>
  <si>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</si>
  <si>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</si>
  <si>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</si>
  <si>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</si>
  <si>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</si>
  <si>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</si>
  <si>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</si>
  <si>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</si>
  <si>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</si>
  <si>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</si>
  <si>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</si>
  <si>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</si>
  <si>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</si>
  <si>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</si>
  <si>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</si>
  <si>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</si>
  <si>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</si>
  <si>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</si>
  <si>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</si>
  <si>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</si>
  <si>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</si>
  <si>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</si>
  <si>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</si>
  <si>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</si>
  <si>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</si>
  <si>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</si>
  <si>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</si>
  <si>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</si>
  <si>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</si>
  <si>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</si>
  <si>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</si>
  <si>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</si>
  <si>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</si>
  <si>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</si>
  <si>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</si>
  <si>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</si>
  <si>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</si>
  <si>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</si>
  <si>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</si>
  <si>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</si>
  <si>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</si>
  <si>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</si>
  <si>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</si>
  <si>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</si>
  <si>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</si>
  <si>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</si>
  <si>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</si>
  <si>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</si>
  <si>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</si>
  <si>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</si>
  <si>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</si>
  <si>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</si>
  <si>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</si>
  <si>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</si>
  <si>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</si>
  <si>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</si>
  <si>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</si>
  <si>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</si>
  <si>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</si>
  <si>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</si>
  <si>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</si>
  <si>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</si>
  <si>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</si>
  <si>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</si>
  <si>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</si>
  <si>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</si>
  <si>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</si>
  <si>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</si>
  <si>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</si>
  <si>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</si>
  <si>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</si>
  <si>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</si>
  <si>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</si>
  <si>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</si>
  <si>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</si>
  <si>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</si>
  <si>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</si>
  <si>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</si>
  <si>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</si>
  <si>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</si>
  <si>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</si>
  <si>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</si>
  <si>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</si>
  <si>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</si>
  <si>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</si>
  <si>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</si>
  <si>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</si>
  <si>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</si>
  <si>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</si>
  <si>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</si>
  <si>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</si>
  <si>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</si>
  <si>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</si>
  <si>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</si>
  <si>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</si>
  <si>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</si>
  <si>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</si>
  <si>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</si>
  <si>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</si>
  <si>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</si>
  <si>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</si>
  <si>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</si>
  <si>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</si>
  <si>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</si>
  <si>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</si>
  <si>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</si>
  <si>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</si>
  <si>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</si>
  <si>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</si>
  <si>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</si>
  <si>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</si>
  <si>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</si>
  <si>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</si>
  <si>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</si>
  <si>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</si>
  <si>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</si>
  <si>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</si>
  <si>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</si>
  <si>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</si>
  <si>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</si>
  <si>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</si>
  <si>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</si>
  <si>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</si>
  <si>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</si>
  <si>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</si>
  <si>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</si>
  <si>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</si>
  <si>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</si>
  <si>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</si>
  <si>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</si>
  <si>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</si>
  <si>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</si>
  <si>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</si>
  <si>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</si>
  <si>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</si>
  <si>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</si>
  <si>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</si>
  <si>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</si>
  <si>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</si>
  <si>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</si>
  <si>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</si>
  <si>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</si>
  <si>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</si>
  <si>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</si>
  <si>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</si>
  <si>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</si>
  <si>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</si>
  <si>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</si>
  <si>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</si>
  <si>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</si>
  <si>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</si>
  <si>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</si>
  <si>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</si>
  <si>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</si>
  <si>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</si>
  <si>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</si>
  <si>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</si>
  <si>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</si>
  <si>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</si>
  <si>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</si>
  <si>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</si>
  <si>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</si>
  <si>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</si>
  <si>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</si>
  <si>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</si>
  <si>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</si>
  <si>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</si>
  <si>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</si>
  <si>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</si>
  <si>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</si>
  <si>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</si>
  <si>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</si>
  <si>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</si>
  <si>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</si>
  <si>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</si>
  <si>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</si>
  <si>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</si>
  <si>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</si>
  <si>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</si>
  <si>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</si>
  <si>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</si>
  <si>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</si>
  <si>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</si>
  <si>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</si>
  <si>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</si>
  <si>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</si>
  <si>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</si>
  <si>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</si>
  <si>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</si>
  <si>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</si>
  <si>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</si>
  <si>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</si>
  <si>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</si>
  <si>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</si>
  <si>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</si>
  <si>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</si>
  <si>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</si>
  <si>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</si>
  <si>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</si>
  <si>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</si>
  <si>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</si>
  <si>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</si>
  <si>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</si>
  <si>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</si>
  <si>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</si>
  <si>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</si>
  <si>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</si>
  <si>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</si>
  <si>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</si>
  <si>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</si>
  <si>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</si>
  <si>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</si>
  <si>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</si>
  <si>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</si>
  <si>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</si>
  <si>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</si>
  <si>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</si>
  <si>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</si>
  <si>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</si>
  <si>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</si>
  <si>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</si>
  <si>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</si>
  <si>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</si>
  <si>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</si>
  <si>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</si>
  <si>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</si>
  <si>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</si>
  <si>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</si>
  <si>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</si>
  <si>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</si>
  <si>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</si>
  <si>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</si>
  <si>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</si>
  <si>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</si>
  <si>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</si>
  <si>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</si>
  <si>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</si>
  <si>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</si>
  <si>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</si>
  <si>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</si>
  <si>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</si>
  <si>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</si>
  <si>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</si>
  <si>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</si>
  <si>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</si>
  <si>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</si>
  <si>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</si>
  <si>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</si>
  <si>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</si>
  <si>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</si>
  <si>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</si>
  <si>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</si>
  <si>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</si>
  <si>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</si>
  <si>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</si>
  <si>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</si>
  <si>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</si>
  <si>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</si>
  <si>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</si>
  <si>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</si>
  <si>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</si>
  <si>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</si>
  <si>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</si>
  <si>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</si>
  <si>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</si>
  <si>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</si>
  <si>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</si>
  <si>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</si>
  <si>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</si>
  <si>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</si>
  <si>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</si>
  <si>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</si>
  <si>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</si>
  <si>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</si>
  <si>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</si>
  <si>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</si>
  <si>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</si>
  <si>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</si>
  <si>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</si>
  <si>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</si>
  <si>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</si>
  <si>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</si>
  <si>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</si>
  <si>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</si>
  <si>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</si>
  <si>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</si>
  <si>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</si>
  <si>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</si>
  <si>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</si>
  <si>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</si>
  <si>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</si>
  <si>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</si>
  <si>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</si>
  <si>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</si>
  <si>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</si>
  <si>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</si>
  <si>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</si>
  <si>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</si>
  <si>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</si>
  <si>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</si>
  <si>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</si>
  <si>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</si>
  <si>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</si>
  <si>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</si>
  <si>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</si>
  <si>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</si>
  <si>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</si>
  <si>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</si>
  <si>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</si>
  <si>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</si>
  <si>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</si>
  <si>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</si>
  <si>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</si>
  <si>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</si>
  <si>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</si>
  <si>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</si>
  <si>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</si>
  <si>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</si>
  <si>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</si>
  <si>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</si>
  <si>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</si>
  <si>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</si>
  <si>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</si>
  <si>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</si>
  <si>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</si>
  <si>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</si>
  <si>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</si>
  <si>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</si>
  <si>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</si>
  <si>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</si>
  <si>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</si>
  <si>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</si>
  <si>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</si>
  <si>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</si>
  <si>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</si>
  <si>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</si>
  <si>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</si>
  <si>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</si>
  <si>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</si>
  <si>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</si>
  <si>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</si>
  <si>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</si>
  <si>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</si>
  <si>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</si>
  <si>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</si>
  <si>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</si>
  <si>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</si>
  <si>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</si>
  <si>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</si>
  <si>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</si>
  <si>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</si>
  <si>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</si>
  <si>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</si>
  <si>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</si>
  <si>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</si>
  <si>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</si>
  <si>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</si>
  <si>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</si>
  <si>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</si>
  <si>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</si>
  <si>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</si>
  <si>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</si>
  <si>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</si>
  <si>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</si>
  <si>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</si>
  <si>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</si>
  <si>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</si>
  <si>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</si>
  <si>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</si>
  <si>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</si>
  <si>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</si>
  <si>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</si>
  <si>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</si>
  <si>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</si>
  <si>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</si>
  <si>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</si>
  <si>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</si>
  <si>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</si>
  <si>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</si>
  <si>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</si>
  <si>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</si>
  <si>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</si>
  <si>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</si>
  <si>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</si>
  <si>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</si>
  <si>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</si>
  <si>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</si>
  <si>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</si>
  <si>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</si>
  <si>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</si>
  <si>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</si>
  <si>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</si>
  <si>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</si>
  <si>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</si>
  <si>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</si>
  <si>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</si>
  <si>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</si>
  <si>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</si>
  <si>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</si>
  <si>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</si>
  <si>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</si>
  <si>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</si>
  <si>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</si>
  <si>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</si>
  <si>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</si>
  <si>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</si>
  <si>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</si>
  <si>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</si>
  <si>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</si>
  <si>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</si>
  <si>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</si>
  <si>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</si>
  <si>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</si>
  <si>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</si>
  <si>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</si>
  <si>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</si>
  <si>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</si>
  <si>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</si>
  <si>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</si>
  <si>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</si>
  <si>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</si>
  <si>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</si>
  <si>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</si>
  <si>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</si>
  <si>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</si>
  <si>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</si>
  <si>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</si>
  <si>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</si>
  <si>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</si>
  <si>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</si>
  <si>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</si>
  <si>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</si>
  <si>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</si>
  <si>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</si>
  <si>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</si>
  <si>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</si>
  <si>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</si>
  <si>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</si>
  <si>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</si>
  <si>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</si>
  <si>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</si>
  <si>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</si>
  <si>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</si>
  <si>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</si>
  <si>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</si>
  <si>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</si>
  <si>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</si>
  <si>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</si>
  <si>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</si>
  <si>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</si>
  <si>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</si>
  <si>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</si>
  <si>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</si>
  <si>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</si>
  <si>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</si>
  <si>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</si>
  <si>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</si>
  <si>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</si>
  <si>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</si>
  <si>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</si>
  <si>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</si>
  <si>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</si>
  <si>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</si>
  <si>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</si>
  <si>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</si>
  <si>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</si>
  <si>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</si>
  <si>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</si>
  <si>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</si>
  <si>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</si>
  <si>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</si>
  <si>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</si>
  <si>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</si>
  <si>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</si>
  <si>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</si>
  <si>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</si>
  <si>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</si>
  <si>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</si>
  <si>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</si>
  <si>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</si>
  <si>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</si>
  <si>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</si>
  <si>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</si>
  <si>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</si>
  <si>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</si>
  <si>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</si>
  <si>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</si>
  <si>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</si>
  <si>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</si>
  <si>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</si>
  <si>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</si>
  <si>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</si>
  <si>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</si>
  <si>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</si>
  <si>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</si>
  <si>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</si>
  <si>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</si>
  <si>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</si>
  <si>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</si>
  <si>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</si>
  <si>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</si>
  <si>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</si>
  <si>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</si>
  <si>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</si>
  <si>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</si>
  <si>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</si>
  <si>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</si>
  <si>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</si>
  <si>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</si>
  <si>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</si>
  <si>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</si>
  <si>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</si>
  <si>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</si>
  <si>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</si>
  <si>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</si>
  <si>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</si>
  <si>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</si>
  <si>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</si>
  <si>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</si>
  <si>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</si>
  <si>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</si>
  <si>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</si>
  <si>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</si>
  <si>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</si>
  <si>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</si>
  <si>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</si>
  <si>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</si>
  <si>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</si>
  <si>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</si>
  <si>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</si>
  <si>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</si>
  <si>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</si>
  <si>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</si>
  <si>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</si>
  <si>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</si>
  <si>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</si>
  <si>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</si>
  <si>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</si>
  <si>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</si>
  <si>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</si>
  <si>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</si>
  <si>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</si>
  <si>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</si>
  <si>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</si>
  <si>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</si>
  <si>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</si>
  <si>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</si>
  <si>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</si>
  <si>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</si>
  <si>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</si>
  <si>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</si>
  <si>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</si>
  <si>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</si>
  <si>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</si>
  <si>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</si>
  <si>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</si>
  <si>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</si>
  <si>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</si>
  <si>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</si>
  <si>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</si>
  <si>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</si>
  <si>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</si>
  <si>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</si>
  <si>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</si>
  <si>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</si>
  <si>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</si>
  <si>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</si>
  <si>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</si>
  <si>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</si>
  <si>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</si>
  <si>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</si>
  <si>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</si>
  <si>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</si>
  <si>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</si>
  <si>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</si>
  <si>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</si>
  <si>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</si>
  <si>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</si>
  <si>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</si>
  <si>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</si>
  <si>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</si>
  <si>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</si>
  <si>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</si>
  <si>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</si>
  <si>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</si>
  <si>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</si>
  <si>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</si>
  <si>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</si>
  <si>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</si>
  <si>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</si>
  <si>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</si>
  <si>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</si>
  <si>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</si>
  <si>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</si>
  <si>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</si>
  <si>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</si>
  <si>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</si>
  <si>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</si>
  <si>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</si>
  <si>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</si>
  <si>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</si>
  <si>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</si>
  <si>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</si>
  <si>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</si>
  <si>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</si>
  <si>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</si>
  <si>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</si>
  <si>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</si>
  <si>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</si>
  <si>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</si>
  <si>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</si>
  <si>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</si>
  <si>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</si>
  <si>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</si>
  <si>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</si>
  <si>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</si>
  <si>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</si>
  <si>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</si>
  <si>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</si>
  <si>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</si>
  <si>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</si>
  <si>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</si>
  <si>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</si>
  <si>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</si>
  <si>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</si>
  <si>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</si>
  <si>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</si>
  <si>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</si>
  <si>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</si>
  <si>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</si>
  <si>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</si>
  <si>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</si>
  <si>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</si>
  <si>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</si>
  <si>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</si>
  <si>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</si>
  <si>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</si>
  <si>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</si>
  <si>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</si>
  <si>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</si>
  <si>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</si>
  <si>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</si>
  <si>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</si>
  <si>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</si>
  <si>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</si>
  <si>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</si>
  <si>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</si>
  <si>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</si>
  <si>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</si>
  <si>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</si>
  <si>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</si>
  <si>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</si>
  <si>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</si>
  <si>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</si>
  <si>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</si>
  <si>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</si>
  <si>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</si>
  <si>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</si>
  <si>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</si>
  <si>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</si>
  <si>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</si>
  <si>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</si>
  <si>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</si>
  <si>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</si>
  <si>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</si>
  <si>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</si>
  <si>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</si>
  <si>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</si>
  <si>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</si>
  <si>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</si>
  <si>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</si>
  <si>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</si>
  <si>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</si>
  <si>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</si>
  <si>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</si>
  <si>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</si>
  <si>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</si>
  <si>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</si>
  <si>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</si>
  <si>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</si>
  <si>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</si>
  <si>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</si>
  <si>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</si>
  <si>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</si>
  <si>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</si>
  <si>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</si>
  <si>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</si>
  <si>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</si>
  <si>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</si>
  <si>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</si>
  <si>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</si>
  <si>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</si>
  <si>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</si>
  <si>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</si>
  <si>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</si>
  <si>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</si>
  <si>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</si>
  <si>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</si>
  <si>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</si>
  <si>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</si>
  <si>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</si>
  <si>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</si>
  <si>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</si>
  <si>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</si>
  <si>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</si>
  <si>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</si>
  <si>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</si>
  <si>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</si>
  <si>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</si>
  <si>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</si>
  <si>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</si>
  <si>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</si>
  <si>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</si>
  <si>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</si>
  <si>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</si>
  <si>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</si>
  <si>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</si>
  <si>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</si>
  <si>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</si>
  <si>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</si>
  <si>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</si>
  <si>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</si>
  <si>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</si>
  <si>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</si>
  <si>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</si>
  <si>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</si>
  <si>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</si>
  <si>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</si>
  <si>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</si>
  <si>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</si>
  <si>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</si>
  <si>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</si>
  <si>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</si>
  <si>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</si>
  <si>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</si>
  <si>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</si>
  <si>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</si>
  <si>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</si>
  <si>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</si>
  <si>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</si>
  <si>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</si>
  <si>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</si>
  <si>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</si>
  <si>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</si>
  <si>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</si>
  <si>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</si>
  <si>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</si>
  <si>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</si>
  <si>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</si>
  <si>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</si>
  <si>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</si>
  <si>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</si>
  <si>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</si>
  <si>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</si>
  <si>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</si>
  <si>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</si>
  <si>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</si>
  <si>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</si>
  <si>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</si>
  <si>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</si>
  <si>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</si>
  <si>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</si>
  <si>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</si>
  <si>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</si>
  <si>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</si>
  <si>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</si>
  <si>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</si>
  <si>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</si>
  <si>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</si>
  <si>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</si>
  <si>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</si>
  <si>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</si>
  <si>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</si>
  <si>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</si>
  <si>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</si>
  <si>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</si>
  <si>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</si>
  <si>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</si>
  <si>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</si>
  <si>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</si>
  <si>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</si>
  <si>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</si>
  <si>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</si>
  <si>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</si>
  <si>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</si>
  <si>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</si>
  <si>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</si>
  <si>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</si>
  <si>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</si>
  <si>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</si>
  <si>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</si>
  <si>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</si>
  <si>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</si>
  <si>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</si>
  <si>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</si>
  <si>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</si>
  <si>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</si>
  <si>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</si>
  <si>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</si>
  <si>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</si>
  <si>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</si>
  <si>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</si>
  <si>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</si>
  <si>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</si>
  <si>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</si>
  <si>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</si>
  <si>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</si>
  <si>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</si>
  <si>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</si>
  <si>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</si>
  <si>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</si>
  <si>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</si>
  <si>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</si>
  <si>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</si>
  <si>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</si>
  <si>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</si>
  <si>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</si>
  <si>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</si>
  <si>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</si>
  <si>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</si>
  <si>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</si>
  <si>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</si>
  <si>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</si>
  <si>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</si>
  <si>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</si>
  <si>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</si>
  <si>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</si>
  <si>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</si>
  <si>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</si>
  <si>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</si>
  <si>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</si>
  <si>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</si>
  <si>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</si>
  <si>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</si>
  <si>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</si>
  <si>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</si>
  <si>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</si>
  <si>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</si>
  <si>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</si>
  <si>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</si>
  <si>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</si>
  <si>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</si>
  <si>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</si>
  <si>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</si>
  <si>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</si>
  <si>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</si>
  <si>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</si>
  <si>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</si>
  <si>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</si>
  <si>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</si>
  <si>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</si>
  <si>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</si>
  <si>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</si>
  <si>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</si>
  <si>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</si>
  <si>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</si>
  <si>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</si>
  <si>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</si>
  <si>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</si>
  <si>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</si>
  <si>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</si>
  <si>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</si>
  <si>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</si>
  <si>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</si>
  <si>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</si>
  <si>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</si>
  <si>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</si>
  <si>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</si>
  <si>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</si>
  <si>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</si>
  <si>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</si>
  <si>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</si>
  <si>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</si>
  <si>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</si>
  <si>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</si>
  <si>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</si>
  <si>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</si>
  <si>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</si>
  <si>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</si>
  <si>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</si>
  <si>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</si>
  <si>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</si>
  <si>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</si>
  <si>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</si>
  <si>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</si>
  <si>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</si>
  <si>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</si>
  <si>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</si>
  <si>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</si>
  <si>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</si>
  <si>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</si>
  <si>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</si>
  <si>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</si>
  <si>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</si>
  <si>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</si>
  <si>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</si>
  <si>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</si>
  <si>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</si>
  <si>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</si>
  <si>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</si>
  <si>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</si>
  <si>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</si>
  <si>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</si>
  <si>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</si>
  <si>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</si>
  <si>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</si>
  <si>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</si>
  <si>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</si>
  <si>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</si>
  <si>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</si>
  <si>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</si>
  <si>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</si>
  <si>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</si>
  <si>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</si>
  <si>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</si>
  <si>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</si>
  <si>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</si>
  <si>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</si>
  <si>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</si>
  <si>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</si>
  <si>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</si>
  <si>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</si>
  <si>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</si>
  <si>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</si>
  <si>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</si>
  <si>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</si>
  <si>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</si>
  <si>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</si>
  <si>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</si>
  <si>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</si>
  <si>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</si>
  <si>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</si>
  <si>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</si>
  <si>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</si>
  <si>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</si>
  <si>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</si>
  <si>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</si>
  <si>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</si>
  <si>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</si>
  <si>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</si>
  <si>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</si>
  <si>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</si>
  <si>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</si>
  <si>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</si>
  <si>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</si>
  <si>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</si>
  <si>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</si>
  <si>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</si>
  <si>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</si>
  <si>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</si>
  <si>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</si>
  <si>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</si>
  <si>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</si>
  <si>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</si>
  <si>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</si>
  <si>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</si>
  <si>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</si>
  <si>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</si>
  <si>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</si>
  <si>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</si>
  <si>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</si>
  <si>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</si>
  <si>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</si>
  <si>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</si>
  <si>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</si>
  <si>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</si>
  <si>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</si>
  <si>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</si>
  <si>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</si>
  <si>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</si>
  <si>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</si>
  <si>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</si>
  <si>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</si>
  <si>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</si>
  <si>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</si>
  <si>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</si>
  <si>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</si>
  <si>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</si>
  <si>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</si>
  <si>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</si>
  <si>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</si>
  <si>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</si>
  <si>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</si>
  <si>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</si>
  <si>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</si>
  <si>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</si>
  <si>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</si>
  <si>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</si>
  <si>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</si>
  <si>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</si>
  <si>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</si>
  <si>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</si>
  <si>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</si>
  <si>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</si>
  <si>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</si>
  <si>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</si>
  <si>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</si>
  <si>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</si>
  <si>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</si>
  <si>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</si>
  <si>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</si>
  <si>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</si>
  <si>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</si>
  <si>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</si>
  <si>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</si>
  <si>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</si>
  <si>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</si>
  <si>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</si>
  <si>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</si>
  <si>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</si>
  <si>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</si>
  <si>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</si>
  <si>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</si>
  <si>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</si>
  <si>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</si>
  <si>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</si>
  <si>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</si>
  <si>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</si>
  <si>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</si>
  <si>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</si>
  <si>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</si>
  <si>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</si>
  <si>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</si>
  <si>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</si>
  <si>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</si>
  <si>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</si>
  <si>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</si>
  <si>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</si>
  <si>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</si>
  <si>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</si>
  <si>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</si>
  <si>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</si>
  <si>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</si>
  <si>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</si>
  <si>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</si>
  <si>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</si>
  <si>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</si>
  <si>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</si>
  <si>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</si>
  <si>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</si>
  <si>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</si>
  <si>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</si>
  <si>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</si>
  <si>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</si>
  <si>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</si>
  <si>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</si>
  <si>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</si>
  <si>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</si>
  <si>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</si>
  <si>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</si>
  <si>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</si>
  <si>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</si>
  <si>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</si>
  <si>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</si>
  <si>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</si>
  <si>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</si>
  <si>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</si>
  <si>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</si>
  <si>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</si>
  <si>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</si>
  <si>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</si>
  <si>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</si>
  <si>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</si>
  <si>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</si>
  <si>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</si>
  <si>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</si>
  <si>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</si>
  <si>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</si>
  <si>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</si>
  <si>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</si>
  <si>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</si>
  <si>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</si>
  <si>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</si>
  <si>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</si>
  <si>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</si>
  <si>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</si>
  <si>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</si>
  <si>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</si>
  <si>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</si>
  <si>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</si>
  <si>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</si>
  <si>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</si>
  <si>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</si>
  <si>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</si>
  <si>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</si>
  <si>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</si>
  <si>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</si>
  <si>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</si>
  <si>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</si>
  <si>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</si>
  <si>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</si>
  <si>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</si>
  <si>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</si>
  <si>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</si>
  <si>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</si>
  <si>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</si>
  <si>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</si>
  <si>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</si>
  <si>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</si>
  <si>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</si>
  <si>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</si>
  <si>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</si>
  <si>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</si>
  <si>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</si>
  <si>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</si>
  <si>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</si>
  <si>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</si>
  <si>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</si>
  <si>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</si>
  <si>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</si>
  <si>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</si>
  <si>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</si>
  <si>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</si>
  <si>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</si>
  <si>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</si>
  <si>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</si>
  <si>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</si>
  <si>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</si>
  <si>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</si>
  <si>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</si>
  <si>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</si>
  <si>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</si>
  <si>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</si>
  <si>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</si>
  <si>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</si>
  <si>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</si>
  <si>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</si>
  <si>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</si>
  <si>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</si>
  <si>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</si>
  <si>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</si>
  <si>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</si>
  <si>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</si>
  <si>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</si>
  <si>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</si>
  <si>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</si>
  <si>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</si>
  <si>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</si>
  <si>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</si>
  <si>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</si>
  <si>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</si>
  <si>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</si>
  <si>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</si>
  <si>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</si>
  <si>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</si>
  <si>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</si>
  <si>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</si>
  <si>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</si>
  <si>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</si>
  <si>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</si>
  <si>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</si>
  <si>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</si>
  <si>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</si>
  <si>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</si>
  <si>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</si>
  <si>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</si>
  <si>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</si>
  <si>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</si>
  <si>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</si>
  <si>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</si>
  <si>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</si>
  <si>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</si>
  <si>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</si>
  <si>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</si>
  <si>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</si>
  <si>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</si>
  <si>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</si>
  <si>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</si>
  <si>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</si>
  <si>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</si>
  <si>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</si>
  <si>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</si>
  <si>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</si>
  <si>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</si>
  <si>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</si>
  <si>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</si>
  <si>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</si>
  <si>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</si>
  <si>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</si>
  <si>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</si>
  <si>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</si>
  <si>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</si>
  <si>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</si>
  <si>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</si>
  <si>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</si>
  <si>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</si>
  <si>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</si>
  <si>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</si>
  <si>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</si>
  <si>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</si>
  <si>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</si>
  <si>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</si>
  <si>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</si>
  <si>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</si>
  <si>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</si>
  <si>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</si>
  <si>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</si>
  <si>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</si>
  <si>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</si>
  <si>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</si>
  <si>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</si>
  <si>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</si>
  <si>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</si>
  <si>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</si>
  <si>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</si>
  <si>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</si>
  <si>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</si>
  <si>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</si>
  <si>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</si>
  <si>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</si>
  <si>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</si>
  <si>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</si>
  <si>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</si>
  <si>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</si>
  <si>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</si>
  <si>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</si>
  <si>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</si>
  <si>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</si>
  <si>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</si>
  <si>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</si>
  <si>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</si>
  <si>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</si>
  <si>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</si>
  <si>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</si>
  <si>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</si>
  <si>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</si>
  <si>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</si>
  <si>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</si>
  <si>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</si>
  <si>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</si>
  <si>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</si>
  <si>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</si>
  <si>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</si>
  <si>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</si>
  <si>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</si>
  <si>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</si>
  <si>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</si>
  <si>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</si>
  <si>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</si>
  <si>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</si>
  <si>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</si>
  <si>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</si>
  <si>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</si>
  <si>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</si>
  <si>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</si>
  <si>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</si>
  <si>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</si>
  <si>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</si>
  <si>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</si>
  <si>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</si>
  <si>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</si>
  <si>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</si>
  <si>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</si>
  <si>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</si>
  <si>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</si>
  <si>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</si>
  <si>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</si>
  <si>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</si>
  <si>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</si>
  <si>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</si>
  <si>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</si>
  <si>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</si>
  <si>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</si>
  <si>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</si>
  <si>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</si>
  <si>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</si>
  <si>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</si>
  <si>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</si>
  <si>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</si>
  <si>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</si>
  <si>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</si>
  <si>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</si>
  <si>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</si>
  <si>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</si>
  <si>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</si>
  <si>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</si>
  <si>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</si>
  <si>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</si>
  <si>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</si>
  <si>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</si>
  <si>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</si>
  <si>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</si>
  <si>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</si>
  <si>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</si>
  <si>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</si>
  <si>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</si>
  <si>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</si>
  <si>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</si>
  <si>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</si>
  <si>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</si>
  <si>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</si>
  <si>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</si>
  <si>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</si>
  <si>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</si>
  <si>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</si>
  <si>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</si>
  <si>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</si>
  <si>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</si>
  <si>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</si>
  <si>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</si>
  <si>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</si>
  <si>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</si>
  <si>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</si>
  <si>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</si>
  <si>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</si>
  <si>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</si>
  <si>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</si>
  <si>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</si>
  <si>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</si>
  <si>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</si>
  <si>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</si>
  <si>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</si>
  <si>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</si>
  <si>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</si>
  <si>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</si>
  <si>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</si>
  <si>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</si>
  <si>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</si>
  <si>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</si>
  <si>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</si>
  <si>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</si>
  <si>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</si>
  <si>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</si>
  <si>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</si>
  <si>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</si>
  <si>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</si>
  <si>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</si>
  <si>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</si>
  <si>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</si>
  <si>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</si>
  <si>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</si>
  <si>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</si>
  <si>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</si>
  <si>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</si>
  <si>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</si>
  <si>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</si>
  <si>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</si>
  <si>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</si>
  <si>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</si>
  <si>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</si>
  <si>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</si>
  <si>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</si>
  <si>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</si>
  <si>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</si>
  <si>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</si>
  <si>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</si>
  <si>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</si>
  <si>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</si>
  <si>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</si>
  <si>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</si>
  <si>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</si>
  <si>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</si>
  <si>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</si>
  <si>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</si>
  <si>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</si>
  <si>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</si>
  <si>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</si>
  <si>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</si>
  <si>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</si>
  <si>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</si>
  <si>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</si>
  <si>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</si>
  <si>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</si>
  <si>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</si>
  <si>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</si>
  <si>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</si>
  <si>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</si>
  <si>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</si>
  <si>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</si>
  <si>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</si>
  <si>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</si>
  <si>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</si>
  <si>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</si>
  <si>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</si>
  <si>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</si>
  <si>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</si>
  <si>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</si>
  <si>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</si>
  <si>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</si>
  <si>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</si>
  <si>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</si>
  <si>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</si>
  <si>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</si>
  <si>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</si>
  <si>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</si>
  <si>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</si>
  <si>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</si>
  <si>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</si>
  <si>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</si>
  <si>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</si>
  <si>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</si>
  <si>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</si>
  <si>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</si>
  <si>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</si>
  <si>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</si>
  <si>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</si>
  <si>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</si>
  <si>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</si>
  <si>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</si>
  <si>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</si>
  <si>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</si>
  <si>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</si>
  <si>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</si>
  <si>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</si>
  <si>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</si>
  <si>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</si>
  <si>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</si>
  <si>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</si>
  <si>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</si>
  <si>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</si>
  <si>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</si>
  <si>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</si>
  <si>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</si>
  <si>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</si>
  <si>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</si>
  <si>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</si>
  <si>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</si>
  <si>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</si>
  <si>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</si>
  <si>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</si>
  <si>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</si>
  <si>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</si>
  <si>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</si>
  <si>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</si>
  <si>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</si>
  <si>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</si>
  <si>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</si>
  <si>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</si>
  <si>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</si>
  <si>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</si>
  <si>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</si>
  <si>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</si>
  <si>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</si>
  <si>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</si>
  <si>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</si>
  <si>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</si>
  <si>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</si>
  <si>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</si>
  <si>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</si>
  <si>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</si>
  <si>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</si>
  <si>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</si>
  <si>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</si>
  <si>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</si>
  <si>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</si>
  <si>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</si>
  <si>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</si>
  <si>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</si>
  <si>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</si>
  <si>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</si>
  <si>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</si>
  <si>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</si>
  <si>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</si>
  <si>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</si>
  <si>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</si>
  <si>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</si>
  <si>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</si>
  <si>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</si>
  <si>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</si>
  <si>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</si>
  <si>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</si>
  <si>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</si>
  <si>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</si>
  <si>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</si>
  <si>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</si>
  <si>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</si>
  <si>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</si>
  <si>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</si>
  <si>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</si>
  <si>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</si>
  <si>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</si>
  <si>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</si>
  <si>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</si>
  <si>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</si>
  <si>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</si>
  <si>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</si>
  <si>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</si>
  <si>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</si>
  <si>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</si>
  <si>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</si>
  <si>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</si>
  <si>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</si>
  <si>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</si>
  <si>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</si>
  <si>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</si>
  <si>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</si>
  <si>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</si>
  <si>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</si>
  <si>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</si>
  <si>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</si>
  <si>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</si>
  <si>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</si>
  <si>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</si>
  <si>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</si>
  <si>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</si>
  <si>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</si>
  <si>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</si>
  <si>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</si>
  <si>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</si>
  <si>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</si>
  <si>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</si>
  <si>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</si>
  <si>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</si>
  <si>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</si>
  <si>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</si>
  <si>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</si>
  <si>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</si>
  <si>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</si>
  <si>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</si>
  <si>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</si>
  <si>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</si>
  <si>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</si>
  <si>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</si>
  <si>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</si>
  <si>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</si>
  <si>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</si>
  <si>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</si>
  <si>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</si>
  <si>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</si>
  <si>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</si>
  <si>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</si>
  <si>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</si>
  <si>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</si>
  <si>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</si>
  <si>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</si>
  <si>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</si>
  <si>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</si>
  <si>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</si>
  <si>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</si>
  <si>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</si>
  <si>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</si>
  <si>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</si>
  <si>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</si>
  <si>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</si>
  <si>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</si>
  <si>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</si>
  <si>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</si>
  <si>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</si>
  <si>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</si>
  <si>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</si>
  <si>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</si>
  <si>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</si>
  <si>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</si>
  <si>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</si>
  <si>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</si>
  <si>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</si>
  <si>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</si>
  <si>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</si>
  <si>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</si>
  <si>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</si>
  <si>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</si>
  <si>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</si>
  <si>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</si>
  <si>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</si>
  <si>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</si>
  <si>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</si>
  <si>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</si>
  <si>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</si>
  <si>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</si>
  <si>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</si>
  <si>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</si>
  <si>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</si>
  <si>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</si>
  <si>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</si>
  <si>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</si>
  <si>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</si>
  <si>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</si>
  <si>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</si>
  <si>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</si>
  <si>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</si>
  <si>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</si>
  <si>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</si>
  <si>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</si>
  <si>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</si>
  <si>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</si>
  <si>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</si>
  <si>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</si>
  <si>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</si>
  <si>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</si>
  <si>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</si>
  <si>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</si>
  <si>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</si>
  <si>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</si>
  <si>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</si>
  <si>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</si>
  <si>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</si>
  <si>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</si>
  <si>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</si>
  <si>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</si>
  <si>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</si>
  <si>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</si>
  <si>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</si>
  <si>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</si>
  <si>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</si>
  <si>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</si>
  <si>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</si>
  <si>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</si>
  <si>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</si>
  <si>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</si>
  <si>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</si>
  <si>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</si>
  <si>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</si>
  <si>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</si>
  <si>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</si>
  <si>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</si>
  <si>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</si>
  <si>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</si>
  <si>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</si>
  <si>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</si>
  <si>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</si>
  <si>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</si>
  <si>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</si>
  <si>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</si>
  <si>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</si>
  <si>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</si>
  <si>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</si>
  <si>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</si>
  <si>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</si>
  <si>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</si>
  <si>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</si>
  <si>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</si>
  <si>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</si>
  <si>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</si>
  <si>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</si>
  <si>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</si>
  <si>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</si>
  <si>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</si>
  <si>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</si>
  <si>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</si>
  <si>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</si>
  <si>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</si>
  <si>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</si>
  <si>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</si>
  <si>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</si>
  <si>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</si>
  <si>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</si>
  <si>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</si>
  <si>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</si>
  <si>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</si>
  <si>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</si>
  <si>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</si>
  <si>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</si>
  <si>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</si>
  <si>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</si>
  <si>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</si>
  <si>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</si>
  <si>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</si>
  <si>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</si>
  <si>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</si>
  <si>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</si>
  <si>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</si>
  <si>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</si>
  <si>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</si>
  <si>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</si>
  <si>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</si>
  <si>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</si>
  <si>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</si>
  <si>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</si>
  <si>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</si>
  <si>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</si>
  <si>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</si>
  <si>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</si>
  <si>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</si>
  <si>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</si>
  <si>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</si>
  <si>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</si>
  <si>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</si>
  <si>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</si>
  <si>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</si>
  <si>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</si>
  <si>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</si>
  <si>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</si>
  <si>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</si>
  <si>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</si>
  <si>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</si>
  <si>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</si>
  <si>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</si>
  <si>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</si>
  <si>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</si>
  <si>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</si>
  <si>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</si>
  <si>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</si>
  <si>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</si>
  <si>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</si>
  <si>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</si>
  <si>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</si>
  <si>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</si>
  <si>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</si>
  <si>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</si>
  <si>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</si>
  <si>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</si>
  <si>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</si>
  <si>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</si>
  <si>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</si>
  <si>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</si>
  <si>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</si>
  <si>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</si>
  <si>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</si>
  <si>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</si>
  <si>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</si>
  <si>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</si>
  <si>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</si>
  <si>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</si>
  <si>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</si>
  <si>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</si>
  <si>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</si>
  <si>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</si>
  <si>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</si>
  <si>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</si>
  <si>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</si>
  <si>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</si>
  <si>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</si>
  <si>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</si>
  <si>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</si>
  <si>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</si>
  <si>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</si>
  <si>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</si>
  <si>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</si>
  <si>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</si>
  <si>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</si>
  <si>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</si>
  <si>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</si>
  <si>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</si>
  <si>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</si>
  <si>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</si>
  <si>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</si>
  <si>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</si>
  <si>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</si>
  <si>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</si>
  <si>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</si>
  <si>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</si>
  <si>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</si>
  <si>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</si>
  <si>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</si>
  <si>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</si>
  <si>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</si>
  <si>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</si>
  <si>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</si>
  <si>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</si>
  <si>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</si>
  <si>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</si>
  <si>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</si>
  <si>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</si>
  <si>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</si>
  <si>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</si>
  <si>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</si>
  <si>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</si>
  <si>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</si>
  <si>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</si>
  <si>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</si>
  <si>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</si>
  <si>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</si>
  <si>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</si>
  <si>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</si>
  <si>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</si>
  <si>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</si>
  <si>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</si>
  <si>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</si>
  <si>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</si>
  <si>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</si>
  <si>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</si>
  <si>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</si>
  <si>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</si>
  <si>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</si>
  <si>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</si>
  <si>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</si>
  <si>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</si>
  <si>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</si>
  <si>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</si>
  <si>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</si>
  <si>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</si>
  <si>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</si>
  <si>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</si>
  <si>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</si>
  <si>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</si>
  <si>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</si>
  <si>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</si>
  <si>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</si>
  <si>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</si>
  <si>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</si>
  <si>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</si>
  <si>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</si>
  <si>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</si>
  <si>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</si>
  <si>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</si>
  <si>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</si>
  <si>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</si>
  <si>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</si>
  <si>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</si>
  <si>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</si>
  <si>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</si>
  <si>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</si>
  <si>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</si>
  <si>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</si>
  <si>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</si>
  <si>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</si>
  <si>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</si>
  <si>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</si>
  <si>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</si>
  <si>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</si>
  <si>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</si>
  <si>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</si>
  <si>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</si>
  <si>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</si>
  <si>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</si>
  <si>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</si>
  <si>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</si>
  <si>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</si>
  <si>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</si>
  <si>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</si>
  <si>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</si>
  <si>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</si>
  <si>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</si>
  <si>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</si>
  <si>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</si>
  <si>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</si>
  <si>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</si>
  <si>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</si>
  <si>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</si>
  <si>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</si>
  <si>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</si>
  <si>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</si>
  <si>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</si>
  <si>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</si>
  <si>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</si>
  <si>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</si>
  <si>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</si>
  <si>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</si>
  <si>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</si>
  <si>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</si>
  <si>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</si>
  <si>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</si>
  <si>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</si>
  <si>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</si>
  <si>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</si>
  <si>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</si>
  <si>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</si>
  <si>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</si>
  <si>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</si>
  <si>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</si>
  <si>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</si>
  <si>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</si>
  <si>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</si>
  <si>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</si>
  <si>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</si>
  <si>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</si>
  <si>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</si>
  <si>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</si>
  <si>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</si>
  <si>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</si>
  <si>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</si>
  <si>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</si>
  <si>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</si>
  <si>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</si>
  <si>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</si>
  <si>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</si>
  <si>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</si>
  <si>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</si>
  <si>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</si>
  <si>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</si>
  <si>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</si>
  <si>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</si>
  <si>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</si>
  <si>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</si>
  <si>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</si>
  <si>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</si>
  <si>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</si>
  <si>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</si>
  <si>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</si>
  <si>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</si>
  <si>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</si>
  <si>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</si>
  <si>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</si>
  <si>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</si>
  <si>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</si>
  <si>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</si>
  <si>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</si>
  <si>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</si>
  <si>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</si>
  <si>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</si>
  <si>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</si>
  <si>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</si>
  <si>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</si>
  <si>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</si>
  <si>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</si>
  <si>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</si>
  <si>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</si>
  <si>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</si>
  <si>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</si>
  <si>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</si>
  <si>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</si>
  <si>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</si>
  <si>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</si>
  <si>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</si>
  <si>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</si>
  <si>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</si>
  <si>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</si>
  <si>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</si>
  <si>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</si>
  <si>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</si>
  <si>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</si>
  <si>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</si>
  <si>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</si>
  <si>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</si>
  <si>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</si>
  <si>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</si>
  <si>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</si>
  <si>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</si>
  <si>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</si>
  <si>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</si>
  <si>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</si>
  <si>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</si>
  <si>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</si>
  <si>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</si>
  <si>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</si>
  <si>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</si>
  <si>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</si>
  <si>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</si>
  <si>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</si>
  <si>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</si>
  <si>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</si>
  <si>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</si>
  <si>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</si>
  <si>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</si>
  <si>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</si>
  <si>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</si>
  <si>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</si>
  <si>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</si>
  <si>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</si>
  <si>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</si>
  <si>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</si>
  <si>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</si>
  <si>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</si>
  <si>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</si>
  <si>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</si>
  <si>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</si>
  <si>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</si>
  <si>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</si>
  <si>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</si>
  <si>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</si>
  <si>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</si>
  <si>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</si>
  <si>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</si>
  <si>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</si>
  <si>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</si>
  <si>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</si>
  <si>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</si>
  <si>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</si>
  <si>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</si>
  <si>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</si>
  <si>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</si>
  <si>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</si>
  <si>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</si>
  <si>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</si>
  <si>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</si>
  <si>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</si>
  <si>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</si>
  <si>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</si>
  <si>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</si>
  <si>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</si>
  <si>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</si>
  <si>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</si>
  <si>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</si>
  <si>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</si>
  <si>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</si>
  <si>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</si>
  <si>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</si>
  <si>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</si>
  <si>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</si>
  <si>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</si>
  <si>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</si>
  <si>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</si>
  <si>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</si>
  <si>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</si>
  <si>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</si>
  <si>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</si>
  <si>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</si>
  <si>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</si>
  <si>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</si>
  <si>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</si>
  <si>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</si>
  <si>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</si>
  <si>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</si>
  <si>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</si>
  <si>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</si>
  <si>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</si>
  <si>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</si>
  <si>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</si>
  <si>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</si>
  <si>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</si>
  <si>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</si>
  <si>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</si>
  <si>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</si>
  <si>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</si>
  <si>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</si>
  <si>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</si>
  <si>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</si>
  <si>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</si>
  <si>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</si>
  <si>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</si>
  <si>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</si>
  <si>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</si>
  <si>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</si>
  <si>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</si>
  <si>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</si>
  <si>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</si>
  <si>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</si>
  <si>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</si>
  <si>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</si>
  <si>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</si>
  <si>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</si>
  <si>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</si>
  <si>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</si>
  <si>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</si>
  <si>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</si>
  <si>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</si>
  <si>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</si>
  <si>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</si>
  <si>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</si>
  <si>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</si>
  <si>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</si>
  <si>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</si>
  <si>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</si>
  <si>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</si>
  <si>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</si>
  <si>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</si>
  <si>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</si>
  <si>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</si>
  <si>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</si>
  <si>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</si>
  <si>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</si>
  <si>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</si>
  <si>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</si>
  <si>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</si>
  <si>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</si>
  <si>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</si>
  <si>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</si>
  <si>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</si>
  <si>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</si>
  <si>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</si>
  <si>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</si>
  <si>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</si>
  <si>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</si>
  <si>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</si>
  <si>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</si>
  <si>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</si>
  <si>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</si>
  <si>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</si>
  <si>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</si>
  <si>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</si>
  <si>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</si>
  <si>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</si>
  <si>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</si>
  <si>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</si>
  <si>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</si>
  <si>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</si>
  <si>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</si>
  <si>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</si>
  <si>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</si>
  <si>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</si>
  <si>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</si>
  <si>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</si>
  <si>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</si>
  <si>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</si>
  <si>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</si>
  <si>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</si>
  <si>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</si>
  <si>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</si>
  <si>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</si>
  <si>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</si>
  <si>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</si>
  <si>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</si>
  <si>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</si>
  <si>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</si>
  <si>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</si>
  <si>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</si>
  <si>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</si>
  <si>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</si>
  <si>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</si>
  <si>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</si>
  <si>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</si>
  <si>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</si>
  <si>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</si>
  <si>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</si>
  <si>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</si>
  <si>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</si>
  <si>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</si>
  <si>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</si>
  <si>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</si>
  <si>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</si>
  <si>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</si>
  <si>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</si>
  <si>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</si>
  <si>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</si>
  <si>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</si>
  <si>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</si>
  <si>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</si>
  <si>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</si>
  <si>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</si>
  <si>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</si>
  <si>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</si>
  <si>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</si>
  <si>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</si>
  <si>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</si>
  <si>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</si>
  <si>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</si>
  <si>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</si>
  <si>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</si>
  <si>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</si>
  <si>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</si>
  <si>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</si>
  <si>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</si>
  <si>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</si>
  <si>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</si>
  <si>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</si>
  <si>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</si>
  <si>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</si>
  <si>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</si>
  <si>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</si>
  <si>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</si>
  <si>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</si>
  <si>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</si>
  <si>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</si>
  <si>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</si>
  <si>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</si>
  <si>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</si>
  <si>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</si>
  <si>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</si>
  <si>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</si>
  <si>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</si>
  <si>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</si>
  <si>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</si>
  <si>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</si>
  <si>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</si>
  <si>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</si>
  <si>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</si>
  <si>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</si>
  <si>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</si>
  <si>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</si>
  <si>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</si>
  <si>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</si>
  <si>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</si>
  <si>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</si>
  <si>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</si>
  <si>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</si>
  <si>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</si>
  <si>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</si>
  <si>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</si>
  <si>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</si>
  <si>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</si>
  <si>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</si>
  <si>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</si>
  <si>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</si>
  <si>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</si>
  <si>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</si>
  <si>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</si>
  <si>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</si>
  <si>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</si>
  <si>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</si>
  <si>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</si>
  <si>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</si>
  <si>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</si>
  <si>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</si>
  <si>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</si>
  <si>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</si>
  <si>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</si>
  <si>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</si>
  <si>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</si>
  <si>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</si>
  <si>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</si>
  <si>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</si>
  <si>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</si>
  <si>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</si>
  <si>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</si>
  <si>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</si>
  <si>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</si>
  <si>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</si>
  <si>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</si>
  <si>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</si>
  <si>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</si>
  <si>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</si>
  <si>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</si>
  <si>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</si>
  <si>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</si>
  <si>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</si>
  <si>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</si>
  <si>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</si>
  <si>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</si>
  <si>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</si>
  <si>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</si>
  <si>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</si>
  <si>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</si>
  <si>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</si>
  <si>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</si>
  <si>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</si>
  <si>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</si>
  <si>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</si>
  <si>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</si>
  <si>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</si>
  <si>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</si>
  <si>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</si>
  <si>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</si>
  <si>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</si>
  <si>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</si>
  <si>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</si>
  <si>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</si>
  <si>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</si>
  <si>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</si>
  <si>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</si>
  <si>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</si>
  <si>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</si>
  <si>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</si>
  <si>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</si>
  <si>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</si>
  <si>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</si>
  <si>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</si>
  <si>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</si>
  <si>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</si>
  <si>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</si>
  <si>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</si>
  <si>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</si>
  <si>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</si>
  <si>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</si>
  <si>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</si>
  <si>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</si>
  <si>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</si>
  <si>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</si>
  <si>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</si>
  <si>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</si>
  <si>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</si>
  <si>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</si>
  <si>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</si>
  <si>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</si>
  <si>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</si>
  <si>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</si>
  <si>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</si>
  <si>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</si>
  <si>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</si>
  <si>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</si>
  <si>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</si>
  <si>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</si>
  <si>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</si>
  <si>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</si>
  <si>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</si>
  <si>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</si>
  <si>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</si>
  <si>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</si>
  <si>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</si>
  <si>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</si>
  <si>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</si>
  <si>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</si>
  <si>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</si>
  <si>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</si>
  <si>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</si>
  <si>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</si>
  <si>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</si>
  <si>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</si>
  <si>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</si>
  <si>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</si>
  <si>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</si>
  <si>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</si>
  <si>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</si>
  <si>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</si>
  <si>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</si>
  <si>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</si>
  <si>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</si>
  <si>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</si>
  <si>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</si>
  <si>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</si>
  <si>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</si>
  <si>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</si>
  <si>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</si>
  <si>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</si>
  <si>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</si>
  <si>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</si>
  <si>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</si>
  <si>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</si>
  <si>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</si>
  <si>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</si>
  <si>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</si>
  <si>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</si>
  <si>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</si>
  <si>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</si>
  <si>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</si>
  <si>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</si>
  <si>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</si>
  <si>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</si>
  <si>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</si>
  <si>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</si>
  <si>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</si>
  <si>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</si>
  <si>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</si>
  <si>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</si>
  <si>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</si>
  <si>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</si>
  <si>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</si>
  <si>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</si>
  <si>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</si>
  <si>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</si>
  <si>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</si>
  <si>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</si>
  <si>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</si>
  <si>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</si>
  <si>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</si>
  <si>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</si>
  <si>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</si>
  <si>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</si>
  <si>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</si>
  <si>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</si>
  <si>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</si>
  <si>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</si>
  <si>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</si>
  <si>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</si>
  <si>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</si>
  <si>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</si>
  <si>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</si>
  <si>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</si>
  <si>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</si>
  <si>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</si>
  <si>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</si>
  <si>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</si>
  <si>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</si>
  <si>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</si>
  <si>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</si>
  <si>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</si>
  <si>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</si>
  <si>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</si>
  <si>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</si>
  <si>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</si>
  <si>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</si>
  <si>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</si>
  <si>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</si>
  <si>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</si>
  <si>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</si>
  <si>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</si>
  <si>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</si>
  <si>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</si>
  <si>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</si>
  <si>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</si>
  <si>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</si>
  <si>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</si>
  <si>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</si>
  <si>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</si>
  <si>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</si>
  <si>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</si>
  <si>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</si>
  <si>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</si>
  <si>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</si>
  <si>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</si>
  <si>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</si>
  <si>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</si>
  <si>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</si>
  <si>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</si>
  <si>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</si>
  <si>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</si>
  <si>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</si>
  <si>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</si>
  <si>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</si>
  <si>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</si>
  <si>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</si>
  <si>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</si>
  <si>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</si>
  <si>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</si>
  <si>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</si>
  <si>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</si>
  <si>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</si>
  <si>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</si>
  <si>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</si>
  <si>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</si>
  <si>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</si>
  <si>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</si>
  <si>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</si>
  <si>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</si>
  <si>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</si>
  <si>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</si>
  <si>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</si>
  <si>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</si>
  <si>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</si>
  <si>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</si>
  <si>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</si>
  <si>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</si>
  <si>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</si>
  <si>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</si>
  <si>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</si>
  <si>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</si>
  <si>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</si>
  <si>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</si>
  <si>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</si>
  <si>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</si>
  <si>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</si>
  <si>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</si>
  <si>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</si>
  <si>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</si>
  <si>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</si>
  <si>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</si>
  <si>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</si>
  <si>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</si>
  <si>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</si>
  <si>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</si>
  <si>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</si>
  <si>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</si>
  <si>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</si>
  <si>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</si>
  <si>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</si>
  <si>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</si>
  <si>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</si>
  <si>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</si>
  <si>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</si>
  <si>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</si>
  <si>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</si>
  <si>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</si>
  <si>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</si>
  <si>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</si>
  <si>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</si>
  <si>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</si>
  <si>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</si>
  <si>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</si>
  <si>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</si>
  <si>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</si>
  <si>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</si>
  <si>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</si>
  <si>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</si>
  <si>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</si>
  <si>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</si>
  <si>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</si>
  <si>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</si>
  <si>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</si>
  <si>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</si>
  <si>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</si>
  <si>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</si>
  <si>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</si>
  <si>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</si>
  <si>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</si>
  <si>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</si>
  <si>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</si>
  <si>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</si>
  <si>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</si>
  <si>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</si>
  <si>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</si>
  <si>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</si>
  <si>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</si>
  <si>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</si>
  <si>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</si>
  <si>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</si>
  <si>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</si>
  <si>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</si>
  <si>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</si>
  <si>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</si>
  <si>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</si>
  <si>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</si>
  <si>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</si>
  <si>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</si>
  <si>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</si>
  <si>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</si>
  <si>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</si>
  <si>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</si>
  <si>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</si>
  <si>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</si>
  <si>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</si>
  <si>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</si>
  <si>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</si>
  <si>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</si>
  <si>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</si>
  <si>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</si>
  <si>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</si>
  <si>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</si>
  <si>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</si>
  <si>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</si>
  <si>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</si>
  <si>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</si>
  <si>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</si>
  <si>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</si>
  <si>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</si>
  <si>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</si>
  <si>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</si>
  <si>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</si>
  <si>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</si>
  <si>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</si>
  <si>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</si>
  <si>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</si>
  <si>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</si>
  <si>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</si>
  <si>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</si>
  <si>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</si>
  <si>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</si>
  <si>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MAURY</t>
  </si>
  <si>
    <t xml:space="preserve">MAURY A MAURY</t>
  </si>
  <si>
    <t xml:space="preserve">06173500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</si>
  <si>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</si>
  <si>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</si>
  <si>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</si>
  <si>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</si>
  <si>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</si>
  <si>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</si>
  <si>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</si>
  <si>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</si>
  <si>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</si>
  <si>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</si>
  <si>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</si>
  <si>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</si>
  <si>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</si>
  <si>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</si>
  <si>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</si>
  <si>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</si>
  <si>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</si>
  <si>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</si>
  <si>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</si>
  <si>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</si>
  <si>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</si>
  <si>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</si>
  <si>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</si>
  <si>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</si>
  <si>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</si>
  <si>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</si>
  <si>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</si>
  <si>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</si>
  <si>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</si>
  <si>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</si>
  <si>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</si>
  <si>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</si>
  <si>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</si>
  <si>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</si>
  <si>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</si>
  <si>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</si>
  <si>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</si>
  <si>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</si>
  <si>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</si>
  <si>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</si>
  <si>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</si>
  <si>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</si>
  <si>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</si>
  <si>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</si>
  <si>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</si>
  <si>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</si>
  <si>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</si>
  <si>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</si>
  <si>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</si>
  <si>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</si>
  <si>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</si>
  <si>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</si>
  <si>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</si>
  <si>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</si>
  <si>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</si>
  <si>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</si>
  <si>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</si>
  <si>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</si>
  <si>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</si>
  <si>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</si>
  <si>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</si>
  <si>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</si>
  <si>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</si>
  <si>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</si>
  <si>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</si>
  <si>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</si>
  <si>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</si>
  <si>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</si>
  <si>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</si>
  <si>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Lotus rectus</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</si>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</sst>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42886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8.21739130434783</v>
      </c>
      <c r="N5" s="324"/>
      <c r="O5" s="325" t="s">
        <v>300</v>
      </c>
      <c r="P5" s="326" t="n">
        <v>8.55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24</v>
      </c>
      <c r="C7" s="342" t="n">
        <v>76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8.9375</v>
      </c>
      <c r="P8" s="356" t="n">
        <f aca="false">IF(ISERROR(AVERAGE(K23:K82)),"  ",AVERAGE(K23:K82))</f>
        <v>1.375</v>
      </c>
      <c r="Q8" s="357"/>
      <c r="R8" s="281"/>
      <c r="S8" s="281"/>
      <c r="T8" s="281"/>
      <c r="U8" s="281"/>
      <c r="V8" s="281"/>
      <c r="W8" s="295"/>
      <c r="X8" s="0"/>
      <c r="Y8" s="0"/>
      <c r="Z8" s="0"/>
    </row>
    <row r="9" customFormat="false" ht="12.75" hidden="false" customHeight="false" outlineLevel="0" collapsed="false">
      <c r="A9" s="314" t="s">
        <v>3399</v>
      </c>
      <c r="B9" s="358" t="n">
        <v>85</v>
      </c>
      <c r="C9" s="359" t="n">
        <v>46</v>
      </c>
      <c r="D9" s="360"/>
      <c r="E9" s="360"/>
      <c r="F9" s="361" t="n">
        <f aca="false">($B9*$B$7+$C9*$C$7)/100</f>
        <v>55.36</v>
      </c>
      <c r="G9" s="362"/>
      <c r="H9" s="317"/>
      <c r="I9" s="281"/>
      <c r="J9" s="363"/>
      <c r="K9" s="364"/>
      <c r="L9" s="347"/>
      <c r="M9" s="365"/>
      <c r="N9" s="355" t="s">
        <v>3400</v>
      </c>
      <c r="O9" s="356" t="n">
        <f aca="false">IF(ISERROR(STDEVP(J23:J82))," ",STDEVP(J23:J82))</f>
        <v>2.83876623729394</v>
      </c>
      <c r="P9" s="356" t="n">
        <f aca="false">IF(ISERROR(STDEVP(K23:K82)),"  ",STDEVP(K23:K82))</f>
        <v>0.484122918275927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8</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31</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3</v>
      </c>
      <c r="M14" s="381"/>
      <c r="N14" s="392" t="s">
        <v>3415</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17</v>
      </c>
      <c r="M15" s="381"/>
      <c r="N15" s="389" t="s">
        <v>3418</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0.548387096774194</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84.66</v>
      </c>
      <c r="C20" s="433" t="n">
        <f aca="false">SUM(C23:C82)</f>
        <v>45.61</v>
      </c>
      <c r="D20" s="434"/>
      <c r="E20" s="435" t="s">
        <v>3425</v>
      </c>
      <c r="F20" s="436" t="n">
        <f aca="false">($B20*$B$7+$C20*$C$7)/100</f>
        <v>54.982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20.3184</v>
      </c>
      <c r="C21" s="444" t="n">
        <f aca="false">C20*C7/100</f>
        <v>34.6636</v>
      </c>
      <c r="D21" s="445" t="s">
        <v>3428</v>
      </c>
      <c r="E21" s="446"/>
      <c r="F21" s="447" t="n">
        <f aca="false">B21+C21</f>
        <v>54.982</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127</v>
      </c>
      <c r="B23" s="472"/>
      <c r="C23" s="473" t="n">
        <v>1.15</v>
      </c>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0.874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0.874</v>
      </c>
      <c r="S23" s="485" t="n">
        <f aca="false">IF(OR(ISTEXT(H23),R23=0),"",IF(R23&lt;0.1,1,IF(R23&lt;1,2,IF(R23&lt;10,3,IF(R23&lt;50,4,IF(R23&gt;=50,5,""))))))</f>
        <v>2</v>
      </c>
      <c r="T23" s="485" t="n">
        <f aca="false">IF(ISERROR(S23*J23),0,S23*J23)</f>
        <v>26</v>
      </c>
      <c r="U23" s="485" t="n">
        <f aca="false">IF(ISERROR(S23*J23*K23),0,S23*J23*K23)</f>
        <v>26</v>
      </c>
      <c r="V23" s="485" t="n">
        <f aca="false">IF(ISERROR(S23*K23),0,S23*K23)</f>
        <v>2</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71</v>
      </c>
      <c r="C24" s="491" t="n">
        <v>16</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29.2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29.2</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228</v>
      </c>
      <c r="B25" s="490" t="n">
        <v>0.25</v>
      </c>
      <c r="C25" s="491" t="n">
        <v>19.25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14.69</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14.69</v>
      </c>
      <c r="S25" s="485" t="n">
        <f aca="false">IF(OR(ISTEXT(H25),R25=0),"",IF(R25&lt;0.1,1,IF(R25&lt;1,2,IF(R25&lt;10,3,IF(R25&lt;50,4,IF(R25&gt;=50,5,""))))))</f>
        <v>4</v>
      </c>
      <c r="T25" s="485" t="n">
        <f aca="false">IF(ISERROR(S25*J25),0,S25*J25)</f>
        <v>40</v>
      </c>
      <c r="U25" s="485" t="n">
        <f aca="false">IF(ISERROR(S25*J25*K25),0,S25*J25*K25)</f>
        <v>40</v>
      </c>
      <c r="V25" s="501" t="n">
        <f aca="false">IF(ISERROR(S25*K25),0,S25*K25)</f>
        <v>4</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300</v>
      </c>
      <c r="B26" s="490" t="n">
        <v>7</v>
      </c>
      <c r="C26" s="491" t="n">
        <v>0.52</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2.0752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2.0752</v>
      </c>
      <c r="S26" s="485" t="n">
        <f aca="false">IF(OR(ISTEXT(H26),R26=0),"",IF(R26&lt;0.1,1,IF(R26&lt;1,2,IF(R26&lt;10,3,IF(R26&lt;50,4,IF(R26&gt;=50,5,""))))))</f>
        <v>3</v>
      </c>
      <c r="T26" s="485" t="n">
        <f aca="false">IF(ISERROR(S26*J26),0,S26*J26)</f>
        <v>18</v>
      </c>
      <c r="U26" s="485" t="n">
        <f aca="false">IF(ISERROR(S26*J26*K26),0,S26*J26*K26)</f>
        <v>36</v>
      </c>
      <c r="V26" s="501" t="n">
        <f aca="false">IF(ISERROR(S26*K26),0,S26*K26)</f>
        <v>6</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328</v>
      </c>
      <c r="B27" s="490"/>
      <c r="C27" s="491" t="n">
        <v>1</v>
      </c>
      <c r="D27" s="492" t="str">
        <f aca="false">IF(ISERROR(VLOOKUP($A27,'liste reference'!$A$6:$B$1174,2,0)),IF(ISERROR(VLOOKUP($A27,'liste reference'!$B$6:$B$1174,1,0)),"",VLOOKUP($A27,'liste reference'!$B$6:$B$1174,1,0)),VLOOKUP($A27,'liste reference'!$A$6:$B$1174,2,0))</f>
        <v>Rhizoclonium sp.</v>
      </c>
      <c r="E27" s="493" t="e">
        <f aca="false">IF(D27="",0,VLOOKUP(D27,D$22:D26,1,0))</f>
        <v>#N/A</v>
      </c>
      <c r="F27" s="494" t="n">
        <f aca="false">IF(AND(OR(A27="",A27="!!!!!!"),B27="",C27=""),"",IF(OR(AND(B27="",C27=""),ISERROR(C27+B27)),"!!!",($B27*$B$7+$C27*$C$7)/100))</f>
        <v>0.76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4</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Rhizoclonium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1125</v>
      </c>
      <c r="R27" s="484" t="n">
        <f aca="false">IF(ISTEXT(H27),"",(B27*$B$7/100)+(C27*$C$7/100))</f>
        <v>0.76</v>
      </c>
      <c r="S27" s="485" t="n">
        <f aca="false">IF(OR(ISTEXT(H27),R27=0),"",IF(R27&lt;0.1,1,IF(R27&lt;1,2,IF(R27&lt;10,3,IF(R27&lt;50,4,IF(R27&gt;=50,5,""))))))</f>
        <v>2</v>
      </c>
      <c r="T27" s="485" t="n">
        <f aca="false">IF(ISERROR(S27*J27),0,S27*J27)</f>
        <v>8</v>
      </c>
      <c r="U27" s="485" t="n">
        <f aca="false">IF(ISERROR(S27*J27*K27),0,S27*J27*K27)</f>
        <v>16</v>
      </c>
      <c r="V27" s="501" t="n">
        <f aca="false">IF(ISERROR(S27*K27),0,S27*K27)</f>
        <v>4</v>
      </c>
      <c r="W27" s="502"/>
      <c r="X27" s="503"/>
      <c r="Y27" s="488" t="str">
        <f aca="false">IF(AND(ISNUMBER(F27),OR(A27="",A27="!!!!!!")),"!!!!!!",IF(A27="new.cod","NEWCOD",IF(AND((Z27=""),ISTEXT(A27),A27&lt;&gt;"!!!!!!"),A27,IF(Z27="","",INDEX('liste reference'!$A$6:$A$1174,Z27)))))</f>
        <v>RHISPX</v>
      </c>
      <c r="Z27" s="470" t="n">
        <f aca="false">IF(ISERROR(MATCH(A27,'liste reference'!$A$6:$A$1174,0)),IF(ISERROR(MATCH(A27,'liste reference'!$B$6:$B$1174,0)),"",(MATCH(A27,'liste reference'!$B$6:$B$1174,0))),(MATCH(A27,'liste reference'!$A$6:$A$1174,0)))</f>
        <v>95</v>
      </c>
    </row>
    <row r="28" customFormat="false" ht="12.75" hidden="false" customHeight="false" outlineLevel="0" collapsed="false">
      <c r="A28" s="489" t="s">
        <v>343</v>
      </c>
      <c r="B28" s="490" t="n">
        <v>1.9</v>
      </c>
      <c r="C28" s="491" t="n">
        <v>0.5</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0.836</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0.836</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382</v>
      </c>
      <c r="B29" s="490"/>
      <c r="C29" s="491" t="n">
        <v>0.01</v>
      </c>
      <c r="D29" s="492" t="str">
        <f aca="false">IF(ISERROR(VLOOKUP($A29,'liste reference'!$A$6:$B$1174,2,0)),IF(ISERROR(VLOOKUP($A29,'liste reference'!$B$6:$B$1174,1,0)),"",VLOOKUP($A29,'liste reference'!$B$6:$B$1174,1,0)),VLOOKUP($A29,'liste reference'!$A$6:$B$1174,2,0))</f>
        <v>Tribonema sp.</v>
      </c>
      <c r="E29" s="493" t="e">
        <f aca="false">IF(D29="",0,VLOOKUP(D29,D$22:D28,1,0))</f>
        <v>#N/A</v>
      </c>
      <c r="F29" s="494" t="n">
        <f aca="false">IF(AND(OR(A29="",A29="!!!!!!"),B29="",C29=""),"",IF(OR(AND(B29="",C29=""),ISERROR(C29+B29)),"!!!",($B29*$B$7+$C29*$C$7)/100))</f>
        <v>0.0076</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11</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Tribonema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1167</v>
      </c>
      <c r="R29" s="484" t="n">
        <f aca="false">IF(ISTEXT(H29),"",(B29*$B$7/100)+(C29*$C$7/100))</f>
        <v>0.0076</v>
      </c>
      <c r="S29" s="485" t="n">
        <f aca="false">IF(OR(ISTEXT(H29),R29=0),"",IF(R29&lt;0.1,1,IF(R29&lt;1,2,IF(R29&lt;10,3,IF(R29&lt;50,4,IF(R29&gt;=50,5,""))))))</f>
        <v>1</v>
      </c>
      <c r="T29" s="485" t="n">
        <f aca="false">IF(ISERROR(S29*J29),0,S29*J29)</f>
        <v>11</v>
      </c>
      <c r="U29" s="485" t="n">
        <f aca="false">IF(ISERROR(S29*J29*K29),0,S29*J29*K29)</f>
        <v>22</v>
      </c>
      <c r="V29" s="501" t="n">
        <f aca="false">IF(ISERROR(S29*K29),0,S29*K29)</f>
        <v>2</v>
      </c>
      <c r="W29" s="502"/>
      <c r="X29" s="503"/>
      <c r="Y29" s="488" t="str">
        <f aca="false">IF(AND(ISNUMBER(F29),OR(A29="",A29="!!!!!!")),"!!!!!!",IF(A29="new.cod","NEWCOD",IF(AND((Z29=""),ISTEXT(A29),A29&lt;&gt;"!!!!!!"),A29,IF(Z29="","",INDEX('liste reference'!$A$6:$A$1174,Z29)))))</f>
        <v>TRISPX</v>
      </c>
      <c r="Z29" s="470" t="n">
        <f aca="false">IF(ISERROR(MATCH(A29,'liste reference'!$A$6:$A$1174,0)),IF(ISERROR(MATCH(A29,'liste reference'!$B$6:$B$1174,0)),"",(MATCH(A29,'liste reference'!$B$6:$B$1174,0))),(MATCH(A29,'liste reference'!$A$6:$A$1174,0)))</f>
        <v>115</v>
      </c>
    </row>
    <row r="30" customFormat="false" ht="12.75" hidden="false" customHeight="false" outlineLevel="0" collapsed="false">
      <c r="A30" s="489" t="s">
        <v>395</v>
      </c>
      <c r="B30" s="490" t="n">
        <v>0.01</v>
      </c>
      <c r="C30" s="491" t="n">
        <v>0.05</v>
      </c>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0.0404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0.0404</v>
      </c>
      <c r="S30" s="485" t="n">
        <f aca="false">IF(OR(ISTEXT(H30),R30=0),"",IF(R30&lt;0.1,1,IF(R30&lt;1,2,IF(R30&lt;10,3,IF(R30&lt;50,4,IF(R30&gt;=50,5,""))))))</f>
        <v>1</v>
      </c>
      <c r="T30" s="485" t="n">
        <f aca="false">IF(ISERROR(S30*J30),0,S30*J30)</f>
        <v>4</v>
      </c>
      <c r="U30" s="485" t="n">
        <f aca="false">IF(ISERROR(S30*J30*K30),0,S30*J30*K30)</f>
        <v>4</v>
      </c>
      <c r="V30" s="501" t="n">
        <f aca="false">IF(ISERROR(S30*K30),0,S30*K30)</f>
        <v>1</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974</v>
      </c>
      <c r="B31" s="490" t="n">
        <v>1.25</v>
      </c>
      <c r="C31" s="491" t="n">
        <v>0.2</v>
      </c>
      <c r="D31" s="492" t="str">
        <f aca="false">IF(ISERROR(VLOOKUP($A31,'liste reference'!$A$6:$B$1174,2,0)),IF(ISERROR(VLOOKUP($A31,'liste reference'!$B$6:$B$1174,1,0)),"",VLOOKUP($A31,'liste reference'!$B$6:$B$1174,1,0)),VLOOKUP($A31,'liste reference'!$A$6:$B$1174,2,0))</f>
        <v>Leptodictyum riparium </v>
      </c>
      <c r="E31" s="493" t="e">
        <f aca="false">IF(D31="",0,VLOOKUP(D31,D$22:D30,1,0))</f>
        <v>#N/A</v>
      </c>
      <c r="F31" s="494" t="n">
        <f aca="false">IF(AND(OR(A31="",A31="!!!!!!"),B31="",C31=""),"",IF(OR(AND(B31="",C31=""),ISERROR(C31+B31)),"!!!",($B31*$B$7+$C31*$C$7)/100))</f>
        <v>0.452</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Leptodictyum riparium </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1244</v>
      </c>
      <c r="R31" s="484" t="n">
        <f aca="false">IF(ISTEXT(H31),"",(B31*$B$7/100)+(C31*$C$7/100))</f>
        <v>0.452</v>
      </c>
      <c r="S31" s="485" t="n">
        <f aca="false">IF(OR(ISTEXT(H31),R31=0),"",IF(R31&lt;0.1,1,IF(R31&lt;1,2,IF(R31&lt;10,3,IF(R31&lt;50,4,IF(R31&gt;=50,5,""))))))</f>
        <v>2</v>
      </c>
      <c r="T31" s="485" t="n">
        <f aca="false">IF(ISERROR(S31*J31),0,S31*J31)</f>
        <v>10</v>
      </c>
      <c r="U31" s="485" t="n">
        <f aca="false">IF(ISERROR(S31*J31*K31),0,S31*J31*K31)</f>
        <v>20</v>
      </c>
      <c r="V31" s="501" t="n">
        <f aca="false">IF(ISERROR(S31*K31),0,S31*K31)</f>
        <v>4</v>
      </c>
      <c r="W31" s="502"/>
      <c r="X31" s="503"/>
      <c r="Y31" s="488" t="str">
        <f aca="false">IF(AND(ISNUMBER(F31),OR(A31="",A31="!!!!!!")),"!!!!!!",IF(A31="new.cod","NEWCOD",IF(AND((Z31=""),ISTEXT(A31),A31&lt;&gt;"!!!!!!"),A31,IF(Z31="","",INDEX('liste reference'!$A$6:$A$1174,Z31)))))</f>
        <v>LEORIP</v>
      </c>
      <c r="Z31" s="470" t="n">
        <f aca="false">IF(ISERROR(MATCH(A31,'liste reference'!$A$6:$A$1174,0)),IF(ISERROR(MATCH(A31,'liste reference'!$B$6:$B$1174,0)),"",(MATCH(A31,'liste reference'!$B$6:$B$1174,0))),(MATCH(A31,'liste reference'!$A$6:$A$1174,0)))</f>
        <v>298</v>
      </c>
    </row>
    <row r="32" customFormat="false" ht="12.75" hidden="false" customHeight="false" outlineLevel="0" collapsed="false">
      <c r="A32" s="489" t="s">
        <v>1122</v>
      </c>
      <c r="B32" s="490" t="n">
        <v>0.01</v>
      </c>
      <c r="C32" s="491"/>
      <c r="D32" s="492" t="str">
        <f aca="false">IF(ISERROR(VLOOKUP($A32,'liste reference'!$A$6:$B$1174,2,0)),IF(ISERROR(VLOOKUP($A32,'liste reference'!$B$6:$B$1174,1,0)),"",VLOOKUP($A32,'liste reference'!$B$6:$B$1174,1,0)),VLOOKUP($A32,'liste reference'!$A$6:$B$1174,2,0))</f>
        <v>Rhynchostegium riparioides</v>
      </c>
      <c r="E32" s="493" t="e">
        <f aca="false">IF(D32="",0,VLOOKUP(D32,D$22:D31,1,0))</f>
        <v>#N/A</v>
      </c>
      <c r="F32" s="494" t="n">
        <f aca="false">IF(AND(OR(A32="",A32="!!!!!!"),B32="",C32=""),"",IF(OR(AND(B32="",C32=""),ISERROR(C32+B32)),"!!!",($B32*$B$7+$C32*$C$7)/100))</f>
        <v>0.0024</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Rhynchostegium riparioides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31691</v>
      </c>
      <c r="R32" s="484" t="n">
        <f aca="false">IF(ISTEXT(H32),"",(B32*$B$7/100)+(C32*$C$7/100))</f>
        <v>0.0024</v>
      </c>
      <c r="S32" s="485" t="n">
        <f aca="false">IF(OR(ISTEXT(H32),R32=0),"",IF(R32&lt;0.1,1,IF(R32&lt;1,2,IF(R32&lt;10,3,IF(R32&lt;50,4,IF(R32&gt;=50,5,""))))))</f>
        <v>1</v>
      </c>
      <c r="T32" s="485" t="n">
        <f aca="false">IF(ISERROR(S32*J32),0,S32*J32)</f>
        <v>12</v>
      </c>
      <c r="U32" s="485" t="n">
        <f aca="false">IF(ISERROR(S32*J32*K32),0,S32*J32*K32)</f>
        <v>12</v>
      </c>
      <c r="V32" s="501" t="n">
        <f aca="false">IF(ISERROR(S32*K32),0,S32*K32)</f>
        <v>1</v>
      </c>
      <c r="W32" s="502"/>
      <c r="X32" s="503"/>
      <c r="Y32" s="488" t="str">
        <f aca="false">IF(AND(ISNUMBER(F32),OR(A32="",A32="!!!!!!")),"!!!!!!",IF(A32="new.cod","NEWCOD",IF(AND((Z32=""),ISTEXT(A32),A32&lt;&gt;"!!!!!!"),A32,IF(Z32="","",INDEX('liste reference'!$A$6:$A$1174,Z32)))))</f>
        <v>RHYRIP</v>
      </c>
      <c r="Z32" s="470" t="n">
        <f aca="false">IF(ISERROR(MATCH(A32,'liste reference'!$A$6:$A$1174,0)),IF(ISERROR(MATCH(A32,'liste reference'!$B$6:$B$1174,0)),"",(MATCH(A32,'liste reference'!$B$6:$B$1174,0))),(MATCH(A32,'liste reference'!$A$6:$A$1174,0)))</f>
        <v>345</v>
      </c>
    </row>
    <row r="33" customFormat="false" ht="12.75" hidden="false" customHeight="false" outlineLevel="0" collapsed="false">
      <c r="A33" s="489" t="s">
        <v>1255</v>
      </c>
      <c r="B33" s="490" t="n">
        <v>0.06</v>
      </c>
      <c r="C33" s="491" t="n">
        <v>1</v>
      </c>
      <c r="D33" s="492" t="str">
        <f aca="false">IF(ISERROR(VLOOKUP($A33,'liste reference'!$A$6:$B$1174,2,0)),IF(ISERROR(VLOOKUP($A33,'liste reference'!$B$6:$B$1174,1,0)),"",VLOOKUP($A33,'liste reference'!$B$6:$B$1174,1,0)),VLOOKUP($A33,'liste reference'!$A$6:$B$1174,2,0))</f>
        <v>Equisetum arvense</v>
      </c>
      <c r="E33" s="493" t="e">
        <f aca="false">IF(D33="",0,VLOOKUP(D33,D$22:D32,1,0))</f>
        <v>#N/A</v>
      </c>
      <c r="F33" s="494" t="n">
        <f aca="false">IF(AND(OR(A33="",A33="!!!!!!"),B33="",C33=""),"",IF(OR(AND(B33="",C33=""),ISERROR(C33+B33)),"!!!",($B33*$B$7+$C33*$C$7)/100))</f>
        <v>0.7744</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arvense</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1384</v>
      </c>
      <c r="R33" s="484" t="n">
        <f aca="false">IF(ISTEXT(H33),"",(B33*$B$7/100)+(C33*$C$7/100))</f>
        <v>0.7744</v>
      </c>
      <c r="S33" s="485" t="n">
        <f aca="false">IF(OR(ISTEXT(H33),R33=0),"",IF(R33&lt;0.1,1,IF(R33&lt;1,2,IF(R33&lt;10,3,IF(R33&lt;50,4,IF(R33&gt;=50,5,""))))))</f>
        <v>2</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EQUARV</v>
      </c>
      <c r="Z33" s="470" t="n">
        <f aca="false">IF(ISERROR(MATCH(A33,'liste reference'!$A$6:$A$1174,0)),IF(ISERROR(MATCH(A33,'liste reference'!$B$6:$B$1174,0)),"",(MATCH(A33,'liste reference'!$B$6:$B$1174,0))),(MATCH(A33,'liste reference'!$A$6:$A$1174,0)))</f>
        <v>385</v>
      </c>
    </row>
    <row r="34" customFormat="false" ht="12.75" hidden="false" customHeight="false" outlineLevel="0" collapsed="false">
      <c r="A34" s="489" t="s">
        <v>1270</v>
      </c>
      <c r="B34" s="490"/>
      <c r="C34" s="491" t="n">
        <v>0.01</v>
      </c>
      <c r="D34" s="492" t="str">
        <f aca="false">IF(ISERROR(VLOOKUP($A34,'liste reference'!$A$6:$B$1174,2,0)),IF(ISERROR(VLOOKUP($A34,'liste reference'!$B$6:$B$1174,1,0)),"",VLOOKUP($A34,'liste reference'!$B$6:$B$1174,1,0)),VLOOKUP($A34,'liste reference'!$A$6:$B$1174,2,0))</f>
        <v>Equisetum ramosissimum</v>
      </c>
      <c r="E34" s="493" t="e">
        <f aca="false">IF(D34="",0,VLOOKUP(D34,D$22:D33,1,0))</f>
        <v>#N/A</v>
      </c>
      <c r="F34" s="494" t="n">
        <f aca="false">IF(AND(OR(A34="",A34="!!!!!!"),B34="",C34=""),"",IF(OR(AND(B34="",C34=""),ISERROR(C34+B34)),"!!!",($B34*$B$7+$C34*$C$7)/100))</f>
        <v>0.0076</v>
      </c>
      <c r="G34" s="495" t="str">
        <f aca="false">IF(A34="","",IF(ISERROR(VLOOKUP($A34,'liste reference'!$A$6:$Q$1174,9,0)),IF(ISERROR(VLOOKUP($A34,'liste reference'!$B$6:$Q$1174,8,0)),"    -",VLOOKUP($A34,'liste reference'!$B$6:$Q$1174,8,0)),VLOOKUP($A34,'liste reference'!$A$6:$Q$1174,9,0)))</f>
        <v>PTE</v>
      </c>
      <c r="H34" s="496" t="n">
        <f aca="false">IF(A34="","x",IF(ISERROR(VLOOKUP($A34,'liste reference'!$A$6:$Q$1174,10,0)),IF(ISERROR(VLOOKUP($A34,'liste reference'!$B$6:$Q$1174,9,0)),"x",VLOOKUP($A34,'liste reference'!$B$6:$Q$1174,9,0)),VLOOKUP($A34,'liste reference'!$A$6:$Q$1174,10,0)))</f>
        <v>6</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Equisetum ramosissimum</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29992</v>
      </c>
      <c r="R34" s="484" t="n">
        <f aca="false">IF(ISTEXT(H34),"",(B34*$B$7/100)+(C34*$C$7/100))</f>
        <v>0.0076</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EQURAM</v>
      </c>
      <c r="Z34" s="470" t="n">
        <f aca="false">IF(ISERROR(MATCH(A34,'liste reference'!$A$6:$A$1174,0)),IF(ISERROR(MATCH(A34,'liste reference'!$B$6:$B$1174,0)),"",(MATCH(A34,'liste reference'!$B$6:$B$1174,0))),(MATCH(A34,'liste reference'!$A$6:$A$1174,0)))</f>
        <v>390</v>
      </c>
    </row>
    <row r="35" customFormat="false" ht="12.75" hidden="false" customHeight="false" outlineLevel="0" collapsed="false">
      <c r="A35" s="489" t="s">
        <v>1277</v>
      </c>
      <c r="B35" s="490"/>
      <c r="C35" s="491" t="n">
        <v>0.01</v>
      </c>
      <c r="D35" s="492" t="str">
        <f aca="false">IF(ISERROR(VLOOKUP($A35,'liste reference'!$A$6:$B$1174,2,0)),IF(ISERROR(VLOOKUP($A35,'liste reference'!$B$6:$B$1174,1,0)),"",VLOOKUP($A35,'liste reference'!$B$6:$B$1174,1,0)),VLOOKUP($A35,'liste reference'!$A$6:$B$1174,2,0))</f>
        <v>Equisetum telmateia</v>
      </c>
      <c r="E35" s="493" t="e">
        <f aca="false">IF(D35="",0,VLOOKUP(D35,D$22:D34,1,0))</f>
        <v>#N/A</v>
      </c>
      <c r="F35" s="494" t="n">
        <f aca="false">IF(AND(OR(A35="",A35="!!!!!!"),B35="",C35=""),"",IF(OR(AND(B35="",C35=""),ISERROR(C35+B35)),"!!!",($B35*$B$7+$C35*$C$7)/100))</f>
        <v>0.0076</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telmateia</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29958</v>
      </c>
      <c r="R35" s="484" t="n">
        <f aca="false">IF(ISTEXT(H35),"",(B35*$B$7/100)+(C35*$C$7/100))</f>
        <v>0.0076</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EQUTEL</v>
      </c>
      <c r="Z35" s="470" t="n">
        <f aca="false">IF(ISERROR(MATCH(A35,'liste reference'!$A$6:$A$1174,0)),IF(ISERROR(MATCH(A35,'liste reference'!$B$6:$B$1174,0)),"",(MATCH(A35,'liste reference'!$B$6:$B$1174,0))),(MATCH(A35,'liste reference'!$A$6:$A$1174,0)))</f>
        <v>393</v>
      </c>
    </row>
    <row r="36" customFormat="false" ht="12.75" hidden="false" customHeight="false" outlineLevel="0" collapsed="false">
      <c r="A36" s="489" t="s">
        <v>1483</v>
      </c>
      <c r="B36" s="490" t="n">
        <v>0.69</v>
      </c>
      <c r="C36" s="491" t="n">
        <v>1.55</v>
      </c>
      <c r="D36" s="492" t="str">
        <f aca="false">IF(ISERROR(VLOOKUP($A36,'liste reference'!$A$6:$B$1174,2,0)),IF(ISERROR(VLOOKUP($A36,'liste reference'!$B$6:$B$1174,1,0)),"",VLOOKUP($A36,'liste reference'!$B$6:$B$1174,1,0)),VLOOKUP($A36,'liste reference'!$A$6:$B$1174,2,0))</f>
        <v>Helosciadium nodiflorum </v>
      </c>
      <c r="E36" s="493" t="e">
        <f aca="false">IF(D36="",0,VLOOKUP(D36,D$22:D35,1,0))</f>
        <v>#N/A</v>
      </c>
      <c r="F36" s="494" t="n">
        <f aca="false">IF(AND(OR(A36="",A36="!!!!!!"),B36="",C36=""),"",IF(OR(AND(B36="",C36=""),ISERROR(C36+B36)),"!!!",($B36*$B$7+$C36*$C$7)/100))</f>
        <v>1.3436</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Helosciadium nodiflorum </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30053</v>
      </c>
      <c r="R36" s="484" t="n">
        <f aca="false">IF(ISTEXT(H36),"",(B36*$B$7/100)+(C36*$C$7/100))</f>
        <v>1.3436</v>
      </c>
      <c r="S36" s="485" t="n">
        <f aca="false">IF(OR(ISTEXT(H36),R36=0),"",IF(R36&lt;0.1,1,IF(R36&lt;1,2,IF(R36&lt;10,3,IF(R36&lt;50,4,IF(R36&gt;=50,5,""))))))</f>
        <v>3</v>
      </c>
      <c r="T36" s="485" t="n">
        <f aca="false">IF(ISERROR(S36*J36),0,S36*J36)</f>
        <v>30</v>
      </c>
      <c r="U36" s="485" t="n">
        <f aca="false">IF(ISERROR(S36*J36*K36),0,S36*J36*K36)</f>
        <v>30</v>
      </c>
      <c r="V36" s="501" t="n">
        <f aca="false">IF(ISERROR(S36*K36),0,S36*K36)</f>
        <v>3</v>
      </c>
      <c r="W36" s="502"/>
      <c r="X36" s="503"/>
      <c r="Y36" s="488" t="str">
        <f aca="false">IF(AND(ISNUMBER(F36),OR(A36="",A36="!!!!!!")),"!!!!!!",IF(A36="new.cod","NEWCOD",IF(AND((Z36=""),ISTEXT(A36),A36&lt;&gt;"!!!!!!"),A36,IF(Z36="","",INDEX('liste reference'!$A$6:$A$1174,Z36)))))</f>
        <v>HELNOD</v>
      </c>
      <c r="Z36" s="470" t="n">
        <f aca="false">IF(ISERROR(MATCH(A36,'liste reference'!$A$6:$A$1174,0)),IF(ISERROR(MATCH(A36,'liste reference'!$B$6:$B$1174,0)),"",(MATCH(A36,'liste reference'!$B$6:$B$1174,0))),(MATCH(A36,'liste reference'!$A$6:$A$1174,0)))</f>
        <v>460</v>
      </c>
    </row>
    <row r="37" customFormat="false" ht="12.75" hidden="false" customHeight="false" outlineLevel="0" collapsed="false">
      <c r="A37" s="489" t="s">
        <v>1932</v>
      </c>
      <c r="B37" s="490" t="n">
        <v>0.6</v>
      </c>
      <c r="C37" s="491" t="n">
        <v>1.15</v>
      </c>
      <c r="D37" s="492" t="str">
        <f aca="false">IF(ISERROR(VLOOKUP($A37,'liste reference'!$A$6:$B$1174,2,0)),IF(ISERROR(VLOOKUP($A37,'liste reference'!$B$6:$B$1174,1,0)),"",VLOOKUP($A37,'liste reference'!$B$6:$B$1174,1,0)),VLOOKUP($A37,'liste reference'!$A$6:$B$1174,2,0))</f>
        <v>Agrostis stolonifera</v>
      </c>
      <c r="E37" s="493" t="e">
        <f aca="false">IF(D37="",0,VLOOKUP(D37,D$22:D36,1,0))</f>
        <v>#N/A</v>
      </c>
      <c r="F37" s="494" t="n">
        <f aca="false">IF(AND(OR(A37="",A37="!!!!!!"),B37="",C37=""),"",IF(OR(AND(B37="",C37=""),ISERROR(C37+B37)),"!!!",($B37*$B$7+$C37*$C$7)/100))</f>
        <v>1.018</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Agrostis stolonifera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1543</v>
      </c>
      <c r="R37" s="484" t="n">
        <f aca="false">IF(ISTEXT(H37),"",(B37*$B$7/100)+(C37*$C$7/100))</f>
        <v>1.018</v>
      </c>
      <c r="S37" s="485" t="n">
        <f aca="false">IF(OR(ISTEXT(H37),R37=0),"",IF(R37&lt;0.1,1,IF(R37&lt;1,2,IF(R37&lt;10,3,IF(R37&lt;50,4,IF(R37&gt;=50,5,""))))))</f>
        <v>3</v>
      </c>
      <c r="T37" s="485" t="n">
        <f aca="false">IF(ISERROR(S37*J37),0,S37*J37)</f>
        <v>30</v>
      </c>
      <c r="U37" s="485" t="n">
        <f aca="false">IF(ISERROR(S37*J37*K37),0,S37*J37*K37)</f>
        <v>30</v>
      </c>
      <c r="V37" s="501" t="n">
        <f aca="false">IF(ISERROR(S37*K37),0,S37*K37)</f>
        <v>3</v>
      </c>
      <c r="W37" s="502"/>
      <c r="X37" s="503"/>
      <c r="Y37" s="488" t="str">
        <f aca="false">IF(AND(ISNUMBER(F37),OR(A37="",A37="!!!!!!")),"!!!!!!",IF(A37="new.cod","NEWCOD",IF(AND((Z37=""),ISTEXT(A37),A37&lt;&gt;"!!!!!!"),A37,IF(Z37="","",INDEX('liste reference'!$A$6:$A$1174,Z37)))))</f>
        <v>AGRSTO</v>
      </c>
      <c r="Z37" s="470" t="n">
        <f aca="false">IF(ISERROR(MATCH(A37,'liste reference'!$A$6:$A$1174,0)),IF(ISERROR(MATCH(A37,'liste reference'!$B$6:$B$1174,0)),"",(MATCH(A37,'liste reference'!$B$6:$B$1174,0))),(MATCH(A37,'liste reference'!$A$6:$A$1174,0)))</f>
        <v>623</v>
      </c>
    </row>
    <row r="38" customFormat="false" ht="12.75" hidden="false" customHeight="false" outlineLevel="0" collapsed="false">
      <c r="A38" s="489" t="s">
        <v>1943</v>
      </c>
      <c r="B38" s="490"/>
      <c r="C38" s="491" t="n">
        <v>0.01</v>
      </c>
      <c r="D38" s="492" t="str">
        <f aca="false">IF(ISERROR(VLOOKUP($A38,'liste reference'!$A$6:$B$1174,2,0)),IF(ISERROR(VLOOKUP($A38,'liste reference'!$B$6:$B$1174,1,0)),"",VLOOKUP($A38,'liste reference'!$B$6:$B$1174,1,0)),VLOOKUP($A38,'liste reference'!$A$6:$B$1174,2,0))</f>
        <v>Bolboschoenus maritimus</v>
      </c>
      <c r="E38" s="493" t="e">
        <f aca="false">IF(D38="",0,VLOOKUP(D38,D$22:D37,1,0))</f>
        <v>#N/A</v>
      </c>
      <c r="F38" s="494" t="n">
        <f aca="false">IF(AND(OR(A38="",A38="!!!!!!"),B38="",C38=""),"",IF(OR(AND(B38="",C38=""),ISERROR(C38+B38)),"!!!",($B38*$B$7+$C38*$C$7)/100))</f>
        <v>0.0076</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Bolboschoenus maritimus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19533</v>
      </c>
      <c r="R38" s="484" t="n">
        <f aca="false">IF(ISTEXT(H38),"",(B38*$B$7/100)+(C38*$C$7/100))</f>
        <v>0.0076</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BOLMAR</v>
      </c>
      <c r="Z38" s="470" t="n">
        <f aca="false">IF(ISERROR(MATCH(A38,'liste reference'!$A$6:$A$1174,0)),IF(ISERROR(MATCH(A38,'liste reference'!$B$6:$B$1174,0)),"",(MATCH(A38,'liste reference'!$B$6:$B$1174,0))),(MATCH(A38,'liste reference'!$A$6:$A$1174,0)))</f>
        <v>626</v>
      </c>
    </row>
    <row r="39" customFormat="false" ht="12.75" hidden="false" customHeight="false" outlineLevel="0" collapsed="false">
      <c r="A39" s="489" t="s">
        <v>2132</v>
      </c>
      <c r="B39" s="490"/>
      <c r="C39" s="491" t="n">
        <v>0.01</v>
      </c>
      <c r="D39" s="492" t="str">
        <f aca="false">IF(ISERROR(VLOOKUP($A39,'liste reference'!$A$6:$B$1174,2,0)),IF(ISERROR(VLOOKUP($A39,'liste reference'!$B$6:$B$1174,1,0)),"",VLOOKUP($A39,'liste reference'!$B$6:$B$1174,1,0)),VLOOKUP($A39,'liste reference'!$A$6:$B$1174,2,0))</f>
        <v>Lycopus europaeus</v>
      </c>
      <c r="E39" s="493" t="e">
        <f aca="false">IF(D39="",0,VLOOKUP(D39,D$22:D38,1,0))</f>
        <v>#N/A</v>
      </c>
      <c r="F39" s="494" t="n">
        <f aca="false">IF(AND(OR(A39="",A39="!!!!!!"),B39="",C39=""),"",IF(OR(AND(B39="",C39=""),ISERROR(C39+B39)),"!!!",($B39*$B$7+$C39*$C$7)/100))</f>
        <v>0.0076</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11</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Lycopus europaeus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1789</v>
      </c>
      <c r="R39" s="484" t="n">
        <f aca="false">IF(ISTEXT(H39),"",(B39*$B$7/100)+(C39*$C$7/100))</f>
        <v>0.0076</v>
      </c>
      <c r="S39" s="485" t="n">
        <f aca="false">IF(OR(ISTEXT(H39),R39=0),"",IF(R39&lt;0.1,1,IF(R39&lt;1,2,IF(R39&lt;10,3,IF(R39&lt;50,4,IF(R39&gt;=50,5,""))))))</f>
        <v>1</v>
      </c>
      <c r="T39" s="485" t="n">
        <f aca="false">IF(ISERROR(S39*J39),0,S39*J39)</f>
        <v>11</v>
      </c>
      <c r="U39" s="485" t="n">
        <f aca="false">IF(ISERROR(S39*J39*K39),0,S39*J39*K39)</f>
        <v>11</v>
      </c>
      <c r="V39" s="501" t="n">
        <f aca="false">IF(ISERROR(S39*K39),0,S39*K39)</f>
        <v>1</v>
      </c>
      <c r="W39" s="502"/>
      <c r="X39" s="503"/>
      <c r="Y39" s="488" t="str">
        <f aca="false">IF(AND(ISNUMBER(F39),OR(A39="",A39="!!!!!!")),"!!!!!!",IF(A39="new.cod","NEWCOD",IF(AND((Z39=""),ISTEXT(A39),A39&lt;&gt;"!!!!!!"),A39,IF(Z39="","",INDEX('liste reference'!$A$6:$A$1174,Z39)))))</f>
        <v>LYCEUR</v>
      </c>
      <c r="Z39" s="470" t="n">
        <f aca="false">IF(ISERROR(MATCH(A39,'liste reference'!$A$6:$A$1174,0)),IF(ISERROR(MATCH(A39,'liste reference'!$B$6:$B$1174,0)),"",(MATCH(A39,'liste reference'!$B$6:$B$1174,0))),(MATCH(A39,'liste reference'!$A$6:$A$1174,0)))</f>
        <v>692</v>
      </c>
    </row>
    <row r="40" customFormat="false" ht="12.75" hidden="false" customHeight="false" outlineLevel="0" collapsed="false">
      <c r="A40" s="489" t="s">
        <v>2164</v>
      </c>
      <c r="B40" s="490" t="n">
        <v>0.01</v>
      </c>
      <c r="C40" s="491" t="n">
        <v>0.04</v>
      </c>
      <c r="D40" s="492" t="str">
        <f aca="false">IF(ISERROR(VLOOKUP($A40,'liste reference'!$A$6:$B$1174,2,0)),IF(ISERROR(VLOOKUP($A40,'liste reference'!$B$6:$B$1174,1,0)),"",VLOOKUP($A40,'liste reference'!$B$6:$B$1174,1,0)),VLOOKUP($A40,'liste reference'!$A$6:$B$1174,2,0))</f>
        <v>Nasturtium officinale</v>
      </c>
      <c r="E40" s="493" t="e">
        <f aca="false">IF(D40="",0,VLOOKUP(D40,D$22:D39,1,0))</f>
        <v>#N/A</v>
      </c>
      <c r="F40" s="494" t="n">
        <f aca="false">IF(AND(OR(A40="",A40="!!!!!!"),B40="",C40=""),"",IF(OR(AND(B40="",C40=""),ISERROR(C40+B40)),"!!!",($B40*$B$7+$C40*$C$7)/100))</f>
        <v>0.0328</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Nasturtium officinale</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1763</v>
      </c>
      <c r="R40" s="484" t="n">
        <f aca="false">IF(ISTEXT(H40),"",(B40*$B$7/100)+(C40*$C$7/100))</f>
        <v>0.0328</v>
      </c>
      <c r="S40" s="485" t="n">
        <f aca="false">IF(OR(ISTEXT(H40),R40=0),"",IF(R40&lt;0.1,1,IF(R40&lt;1,2,IF(R40&lt;10,3,IF(R40&lt;50,4,IF(R40&gt;=50,5,""))))))</f>
        <v>1</v>
      </c>
      <c r="T40" s="485" t="n">
        <f aca="false">IF(ISERROR(S40*J40),0,S40*J40)</f>
        <v>11</v>
      </c>
      <c r="U40" s="485" t="n">
        <f aca="false">IF(ISERROR(S40*J40*K40),0,S40*J40*K40)</f>
        <v>11</v>
      </c>
      <c r="V40" s="501" t="n">
        <f aca="false">IF(ISERROR(S40*K40),0,S40*K40)</f>
        <v>1</v>
      </c>
      <c r="W40" s="502"/>
      <c r="X40" s="503"/>
      <c r="Y40" s="488" t="str">
        <f aca="false">IF(AND(ISNUMBER(F40),OR(A40="",A40="!!!!!!")),"!!!!!!",IF(A40="new.cod","NEWCOD",IF(AND((Z40=""),ISTEXT(A40),A40&lt;&gt;"!!!!!!"),A40,IF(Z40="","",INDEX('liste reference'!$A$6:$A$1174,Z40)))))</f>
        <v>NASOFF</v>
      </c>
      <c r="Z40" s="470" t="n">
        <f aca="false">IF(ISERROR(MATCH(A40,'liste reference'!$A$6:$A$1174,0)),IF(ISERROR(MATCH(A40,'liste reference'!$B$6:$B$1174,0)),"",(MATCH(A40,'liste reference'!$B$6:$B$1174,0))),(MATCH(A40,'liste reference'!$A$6:$A$1174,0)))</f>
        <v>704</v>
      </c>
    </row>
    <row r="41" customFormat="false" ht="12.75" hidden="false" customHeight="false" outlineLevel="0" collapsed="false">
      <c r="A41" s="489" t="s">
        <v>2174</v>
      </c>
      <c r="B41" s="490" t="n">
        <v>1.8</v>
      </c>
      <c r="C41" s="491" t="n">
        <v>2.3</v>
      </c>
      <c r="D41" s="492" t="str">
        <f aca="false">IF(ISERROR(VLOOKUP($A41,'liste reference'!$A$6:$B$1174,2,0)),IF(ISERROR(VLOOKUP($A41,'liste reference'!$B$6:$B$1174,1,0)),"",VLOOKUP($A41,'liste reference'!$B$6:$B$1174,1,0)),VLOOKUP($A41,'liste reference'!$A$6:$B$1174,2,0))</f>
        <v>Phragmites australis</v>
      </c>
      <c r="E41" s="493" t="e">
        <f aca="false">IF(D41="",0,VLOOKUP(D41,D$22:D40,1,0))</f>
        <v>#N/A</v>
      </c>
      <c r="F41" s="494" t="n">
        <f aca="false">IF(AND(OR(A41="",A41="!!!!!!"),B41="",C41=""),"",IF(OR(AND(B41="",C41=""),ISERROR(C41+B41)),"!!!",($B41*$B$7+$C41*$C$7)/100))</f>
        <v>2.18</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9</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Phragmites australis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1579</v>
      </c>
      <c r="R41" s="484" t="n">
        <f aca="false">IF(ISTEXT(H41),"",(B41*$B$7/100)+(C41*$C$7/100))</f>
        <v>2.18</v>
      </c>
      <c r="S41" s="485" t="n">
        <f aca="false">IF(OR(ISTEXT(H41),R41=0),"",IF(R41&lt;0.1,1,IF(R41&lt;1,2,IF(R41&lt;10,3,IF(R41&lt;50,4,IF(R41&gt;=50,5,""))))))</f>
        <v>3</v>
      </c>
      <c r="T41" s="485" t="n">
        <f aca="false">IF(ISERROR(S41*J41),0,S41*J41)</f>
        <v>27</v>
      </c>
      <c r="U41" s="485" t="n">
        <f aca="false">IF(ISERROR(S41*J41*K41),0,S41*J41*K41)</f>
        <v>54</v>
      </c>
      <c r="V41" s="501" t="n">
        <f aca="false">IF(ISERROR(S41*K41),0,S41*K41)</f>
        <v>6</v>
      </c>
      <c r="W41" s="502"/>
      <c r="X41" s="503"/>
      <c r="Y41" s="488" t="str">
        <f aca="false">IF(AND(ISNUMBER(F41),OR(A41="",A41="!!!!!!")),"!!!!!!",IF(A41="new.cod","NEWCOD",IF(AND((Z41=""),ISTEXT(A41),A41&lt;&gt;"!!!!!!"),A41,IF(Z41="","",INDEX('liste reference'!$A$6:$A$1174,Z41)))))</f>
        <v>PHRAUS</v>
      </c>
      <c r="Z41" s="470" t="n">
        <f aca="false">IF(ISERROR(MATCH(A41,'liste reference'!$A$6:$A$1174,0)),IF(ISERROR(MATCH(A41,'liste reference'!$B$6:$B$1174,0)),"",(MATCH(A41,'liste reference'!$B$6:$B$1174,0))),(MATCH(A41,'liste reference'!$A$6:$A$1174,0)))</f>
        <v>709</v>
      </c>
    </row>
    <row r="42" customFormat="false" ht="12.75" hidden="false" customHeight="false" outlineLevel="0" collapsed="false">
      <c r="A42" s="489" t="s">
        <v>2244</v>
      </c>
      <c r="B42" s="490" t="n">
        <v>0.01</v>
      </c>
      <c r="C42" s="491"/>
      <c r="D42" s="492" t="str">
        <f aca="false">IF(ISERROR(VLOOKUP($A42,'liste reference'!$A$6:$B$1174,2,0)),IF(ISERROR(VLOOKUP($A42,'liste reference'!$B$6:$B$1174,1,0)),"",VLOOKUP($A42,'liste reference'!$B$6:$B$1174,1,0)),VLOOKUP($A42,'liste reference'!$A$6:$B$1174,2,0))</f>
        <v>Typha domingensis</v>
      </c>
      <c r="E42" s="493" t="e">
        <f aca="false">IF(D42="",0,VLOOKUP(D42,D$22:D41,1,0))</f>
        <v>#N/A</v>
      </c>
      <c r="F42" s="494" t="n">
        <f aca="false">IF(AND(OR(A42="",A42="!!!!!!"),B42="",C42=""),"",IF(OR(AND(B42="",C42=""),ISERROR(C42+B42)),"!!!",($B42*$B$7+$C42*$C$7)/100))</f>
        <v>0.0024</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Typha domingensis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19723</v>
      </c>
      <c r="R42" s="484" t="n">
        <f aca="false">IF(ISTEXT(H42),"",(B42*$B$7/100)+(C42*$C$7/100))</f>
        <v>0.0024</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TYPDOM</v>
      </c>
      <c r="Z42" s="470" t="n">
        <f aca="false">IF(ISERROR(MATCH(A42,'liste reference'!$A$6:$A$1174,0)),IF(ISERROR(MATCH(A42,'liste reference'!$B$6:$B$1174,0)),"",(MATCH(A42,'liste reference'!$B$6:$B$1174,0))),(MATCH(A42,'liste reference'!$A$6:$A$1174,0)))</f>
        <v>734</v>
      </c>
    </row>
    <row r="43" customFormat="false" ht="12.75" hidden="false" customHeight="false" outlineLevel="0" collapsed="false">
      <c r="A43" s="489" t="s">
        <v>2260</v>
      </c>
      <c r="B43" s="490" t="n">
        <v>0.01</v>
      </c>
      <c r="C43" s="491" t="n">
        <v>0.02</v>
      </c>
      <c r="D43" s="492" t="str">
        <f aca="false">IF(ISERROR(VLOOKUP($A43,'liste reference'!$A$6:$B$1174,2,0)),IF(ISERROR(VLOOKUP($A43,'liste reference'!$B$6:$B$1174,1,0)),"",VLOOKUP($A43,'liste reference'!$B$6:$B$1174,1,0)),VLOOKUP($A43,'liste reference'!$A$6:$B$1174,2,0))</f>
        <v>Veronica anagallis-aquatica</v>
      </c>
      <c r="E43" s="493" t="e">
        <f aca="false">IF(D43="",0,VLOOKUP(D43,D$22:D42,1,0))</f>
        <v>#N/A</v>
      </c>
      <c r="F43" s="494" t="n">
        <f aca="false">IF(AND(OR(A43="",A43="!!!!!!"),B43="",C43=""),"",IF(OR(AND(B43="",C43=""),ISERROR(C43+B43)),"!!!",($B43*$B$7+$C43*$C$7)/100))</f>
        <v>0.0176</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Veronica anagallis-aquatica</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1955</v>
      </c>
      <c r="R43" s="484" t="n">
        <f aca="false">IF(ISTEXT(H43),"",(B43*$B$7/100)+(C43*$C$7/100))</f>
        <v>0.0176</v>
      </c>
      <c r="S43" s="485" t="n">
        <f aca="false">IF(OR(ISTEXT(H43),R43=0),"",IF(R43&lt;0.1,1,IF(R43&lt;1,2,IF(R43&lt;10,3,IF(R43&lt;50,4,IF(R43&gt;=50,5,""))))))</f>
        <v>1</v>
      </c>
      <c r="T43" s="485" t="n">
        <f aca="false">IF(ISERROR(S43*J43),0,S43*J43)</f>
        <v>11</v>
      </c>
      <c r="U43" s="485" t="n">
        <f aca="false">IF(ISERROR(S43*J43*K43),0,S43*J43*K43)</f>
        <v>22</v>
      </c>
      <c r="V43" s="501" t="n">
        <f aca="false">IF(ISERROR(S43*K43),0,S43*K43)</f>
        <v>2</v>
      </c>
      <c r="W43" s="502"/>
      <c r="X43" s="503"/>
      <c r="Y43" s="488" t="str">
        <f aca="false">IF(AND(ISNUMBER(F43),OR(A43="",A43="!!!!!!")),"!!!!!!",IF(A43="new.cod","NEWCOD",IF(AND((Z43=""),ISTEXT(A43),A43&lt;&gt;"!!!!!!"),A43,IF(Z43="","",INDEX('liste reference'!$A$6:$A$1174,Z43)))))</f>
        <v>VERANA</v>
      </c>
      <c r="Z43" s="470" t="n">
        <f aca="false">IF(ISERROR(MATCH(A43,'liste reference'!$A$6:$A$1174,0)),IF(ISERROR(MATCH(A43,'liste reference'!$B$6:$B$1174,0)),"",(MATCH(A43,'liste reference'!$B$6:$B$1174,0))),(MATCH(A43,'liste reference'!$A$6:$A$1174,0)))</f>
        <v>740</v>
      </c>
    </row>
    <row r="44" customFormat="false" ht="12.75" hidden="false" customHeight="false" outlineLevel="0" collapsed="false">
      <c r="A44" s="489" t="s">
        <v>2335</v>
      </c>
      <c r="B44" s="490"/>
      <c r="C44" s="491" t="n">
        <v>0.25</v>
      </c>
      <c r="D44" s="492" t="str">
        <f aca="false">IF(ISERROR(VLOOKUP($A44,'liste reference'!$A$6:$B$1174,2,0)),IF(ISERROR(VLOOKUP($A44,'liste reference'!$B$6:$B$1174,1,0)),"",VLOOKUP($A44,'liste reference'!$B$6:$B$1174,1,0)),VLOOKUP($A44,'liste reference'!$A$6:$B$1174,2,0))</f>
        <v>Arundo donax</v>
      </c>
      <c r="E44" s="493" t="e">
        <f aca="false">IF(D44="",0,VLOOKUP(D44,D$22:D43,1,0))</f>
        <v>#N/A</v>
      </c>
      <c r="F44" s="494" t="n">
        <f aca="false">IF(AND(OR(A44="",A44="!!!!!!"),B44="",C44=""),"",IF(OR(AND(B44="",C44=""),ISERROR(C44+B44)),"!!!",($B44*$B$7+$C44*$C$7)/100))</f>
        <v>0.19</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Arundo donax</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1551</v>
      </c>
      <c r="R44" s="484" t="n">
        <f aca="false">IF(ISTEXT(H44),"",(B44*$B$7/100)+(C44*$C$7/100))</f>
        <v>0.19</v>
      </c>
      <c r="S44" s="485" t="n">
        <f aca="false">IF(OR(ISTEXT(H44),R44=0),"",IF(R44&lt;0.1,1,IF(R44&lt;1,2,IF(R44&lt;10,3,IF(R44&lt;50,4,IF(R44&gt;=50,5,""))))))</f>
        <v>2</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ARUDON</v>
      </c>
      <c r="Z44" s="470" t="n">
        <f aca="false">IF(ISERROR(MATCH(A44,'liste reference'!$A$6:$A$1174,0)),IF(ISERROR(MATCH(A44,'liste reference'!$B$6:$B$1174,0)),"",(MATCH(A44,'liste reference'!$B$6:$B$1174,0))),(MATCH(A44,'liste reference'!$A$6:$A$1174,0)))</f>
        <v>767</v>
      </c>
    </row>
    <row r="45" customFormat="false" ht="12.75" hidden="false" customHeight="false" outlineLevel="0" collapsed="false">
      <c r="A45" s="489" t="s">
        <v>2611</v>
      </c>
      <c r="B45" s="490" t="n">
        <v>0.01</v>
      </c>
      <c r="C45" s="491" t="n">
        <v>0.01</v>
      </c>
      <c r="D45" s="492" t="str">
        <f aca="false">IF(ISERROR(VLOOKUP($A45,'liste reference'!$A$6:$B$1174,2,0)),IF(ISERROR(VLOOKUP($A45,'liste reference'!$B$6:$B$1174,1,0)),"",VLOOKUP($A45,'liste reference'!$B$6:$B$1174,1,0)),VLOOKUP($A45,'liste reference'!$A$6:$B$1174,2,0))</f>
        <v>Juncus articulatus</v>
      </c>
      <c r="E45" s="493" t="e">
        <f aca="false">IF(D45="",0,VLOOKUP(D45,D$22:D44,1,0))</f>
        <v>#N/A</v>
      </c>
      <c r="F45" s="494" t="n">
        <f aca="false">IF(AND(OR(A45="",A45="!!!!!!"),B45="",C45=""),"",IF(OR(AND(B45="",C45=""),ISERROR(C45+B45)),"!!!",($B45*$B$7+$C45*$C$7)/100))</f>
        <v>0.01</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Juncus articulatus</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1609</v>
      </c>
      <c r="R45" s="484" t="n">
        <f aca="false">IF(ISTEXT(H45),"",(B45*$B$7/100)+(C45*$C$7/100))</f>
        <v>0.01</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JUNART</v>
      </c>
      <c r="Z45" s="470" t="n">
        <f aca="false">IF(ISERROR(MATCH(A45,'liste reference'!$A$6:$A$1174,0)),IF(ISERROR(MATCH(A45,'liste reference'!$B$6:$B$1174,0)),"",(MATCH(A45,'liste reference'!$B$6:$B$1174,0))),(MATCH(A45,'liste reference'!$A$6:$A$1174,0)))</f>
        <v>873</v>
      </c>
    </row>
    <row r="46" customFormat="false" ht="12.75" hidden="false" customHeight="false" outlineLevel="0" collapsed="false">
      <c r="A46" s="489" t="s">
        <v>2699</v>
      </c>
      <c r="B46" s="490" t="n">
        <v>0.01</v>
      </c>
      <c r="C46" s="491" t="n">
        <v>0.02</v>
      </c>
      <c r="D46" s="492" t="str">
        <f aca="false">IF(ISERROR(VLOOKUP($A46,'liste reference'!$A$6:$B$1174,2,0)),IF(ISERROR(VLOOKUP($A46,'liste reference'!$B$6:$B$1174,1,0)),"",VLOOKUP($A46,'liste reference'!$B$6:$B$1174,1,0)),VLOOKUP($A46,'liste reference'!$A$6:$B$1174,2,0))</f>
        <v>Lythrum salicaria</v>
      </c>
      <c r="E46" s="493" t="e">
        <f aca="false">IF(D46="",0,VLOOKUP(D46,D$22:D45,1,0))</f>
        <v>#N/A</v>
      </c>
      <c r="F46" s="494" t="n">
        <f aca="false">IF(AND(OR(A46="",A46="!!!!!!"),B46="",C46=""),"",IF(OR(AND(B46="",C46=""),ISERROR(C46+B46)),"!!!",($B46*$B$7+$C46*$C$7)/100))</f>
        <v>0.0176</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Lythrum salicaria</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1823</v>
      </c>
      <c r="R46" s="484" t="n">
        <f aca="false">IF(ISTEXT(H46),"",(B46*$B$7/100)+(C46*$C$7/100))</f>
        <v>0.0176</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LYTSAL</v>
      </c>
      <c r="Z46" s="470" t="n">
        <f aca="false">IF(ISERROR(MATCH(A46,'liste reference'!$A$6:$A$1174,0)),IF(ISERROR(MATCH(A46,'liste reference'!$B$6:$B$1174,0)),"",(MATCH(A46,'liste reference'!$B$6:$B$1174,0))),(MATCH(A46,'liste reference'!$A$6:$A$1174,0)))</f>
        <v>902</v>
      </c>
    </row>
    <row r="47" customFormat="false" ht="12.75" hidden="false" customHeight="false" outlineLevel="0" collapsed="false">
      <c r="A47" s="489" t="s">
        <v>2705</v>
      </c>
      <c r="B47" s="490" t="n">
        <v>0.01</v>
      </c>
      <c r="C47" s="491" t="n">
        <v>0.5</v>
      </c>
      <c r="D47" s="492" t="str">
        <f aca="false">IF(ISERROR(VLOOKUP($A47,'liste reference'!$A$6:$B$1174,2,0)),IF(ISERROR(VLOOKUP($A47,'liste reference'!$B$6:$B$1174,1,0)),"",VLOOKUP($A47,'liste reference'!$B$6:$B$1174,1,0)),VLOOKUP($A47,'liste reference'!$A$6:$B$1174,2,0))</f>
        <v>Mentha suaveolens</v>
      </c>
      <c r="E47" s="493" t="e">
        <f aca="false">IF(D47="",0,VLOOKUP(D47,D$22:D46,1,0))</f>
        <v>#N/A</v>
      </c>
      <c r="F47" s="494" t="n">
        <f aca="false">IF(AND(OR(A47="",A47="!!!!!!"),B47="",C47=""),"",IF(OR(AND(B47="",C47=""),ISERROR(C47+B47)),"!!!",($B47*$B$7+$C47*$C$7)/100))</f>
        <v>0.3824</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Mentha suaveolens</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29952</v>
      </c>
      <c r="R47" s="484" t="n">
        <f aca="false">IF(ISTEXT(H47),"",(B47*$B$7/100)+(C47*$C$7/100))</f>
        <v>0.3824</v>
      </c>
      <c r="S47" s="485" t="n">
        <f aca="false">IF(OR(ISTEXT(H47),R47=0),"",IF(R47&lt;0.1,1,IF(R47&lt;1,2,IF(R47&lt;10,3,IF(R47&lt;50,4,IF(R47&gt;=50,5,""))))))</f>
        <v>2</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MENSUA</v>
      </c>
      <c r="Z47" s="470" t="n">
        <f aca="false">IF(ISERROR(MATCH(A47,'liste reference'!$A$6:$A$1174,0)),IF(ISERROR(MATCH(A47,'liste reference'!$B$6:$B$1174,0)),"",(MATCH(A47,'liste reference'!$B$6:$B$1174,0))),(MATCH(A47,'liste reference'!$A$6:$A$1174,0)))</f>
        <v>905</v>
      </c>
    </row>
    <row r="48" customFormat="false" ht="12.75" hidden="false" customHeight="false" outlineLevel="0" collapsed="false">
      <c r="A48" s="489" t="s">
        <v>2758</v>
      </c>
      <c r="B48" s="490" t="n">
        <v>0.01</v>
      </c>
      <c r="C48" s="491"/>
      <c r="D48" s="492" t="str">
        <f aca="false">IF(ISERROR(VLOOKUP($A48,'liste reference'!$A$6:$B$1174,2,0)),IF(ISERROR(VLOOKUP($A48,'liste reference'!$B$6:$B$1174,1,0)),"",VLOOKUP($A48,'liste reference'!$B$6:$B$1174,1,0)),VLOOKUP($A48,'liste reference'!$A$6:$B$1174,2,0))</f>
        <v>Paspalum distichum</v>
      </c>
      <c r="E48" s="493" t="e">
        <f aca="false">IF(D48="",0,VLOOKUP(D48,D$22:D47,1,0))</f>
        <v>#N/A</v>
      </c>
      <c r="F48" s="494" t="n">
        <f aca="false">IF(AND(OR(A48="",A48="!!!!!!"),B48="",C48=""),"",IF(OR(AND(B48="",C48=""),ISERROR(C48+B48)),"!!!",($B48*$B$7+$C48*$C$7)/100))</f>
        <v>0.0024</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Paspalum distichum</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10237</v>
      </c>
      <c r="R48" s="484" t="n">
        <f aca="false">IF(ISTEXT(H48),"",(B48*$B$7/100)+(C48*$C$7/100))</f>
        <v>0.0024</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PASDIS</v>
      </c>
      <c r="Z48" s="470" t="n">
        <f aca="false">IF(ISERROR(MATCH(A48,'liste reference'!$A$6:$A$1174,0)),IF(ISERROR(MATCH(A48,'liste reference'!$B$6:$B$1174,0)),"",(MATCH(A48,'liste reference'!$B$6:$B$1174,0))),(MATCH(A48,'liste reference'!$A$6:$A$1174,0)))</f>
        <v>922</v>
      </c>
    </row>
    <row r="49" customFormat="false" ht="12.75" hidden="false" customHeight="false" outlineLevel="0" collapsed="false">
      <c r="A49" s="489" t="s">
        <v>2866</v>
      </c>
      <c r="B49" s="490"/>
      <c r="C49" s="491" t="n">
        <v>0.01</v>
      </c>
      <c r="D49" s="492" t="str">
        <f aca="false">IF(ISERROR(VLOOKUP($A49,'liste reference'!$A$6:$B$1174,2,0)),IF(ISERROR(VLOOKUP($A49,'liste reference'!$B$6:$B$1174,1,0)),"",VLOOKUP($A49,'liste reference'!$B$6:$B$1174,1,0)),VLOOKUP($A49,'liste reference'!$A$6:$B$1174,2,0))</f>
        <v>Scirpoides holoschoenus</v>
      </c>
      <c r="E49" s="493" t="e">
        <f aca="false">IF(D49="",0,VLOOKUP(D49,D$22:D48,1,0))</f>
        <v>#N/A</v>
      </c>
      <c r="F49" s="494" t="n">
        <f aca="false">IF(AND(OR(A49="",A49="!!!!!!"),B49="",C49=""),"",IF(OR(AND(B49="",C49=""),ISERROR(C49+B49)),"!!!",($B49*$B$7+$C49*$C$7)/100))</f>
        <v>0.0076</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Scirpoides holoschoenus</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19685</v>
      </c>
      <c r="R49" s="484" t="n">
        <f aca="false">IF(ISTEXT(H49),"",(B49*$B$7/100)+(C49*$C$7/100))</f>
        <v>0.0076</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SCPHOL</v>
      </c>
      <c r="Z49" s="470" t="n">
        <f aca="false">IF(ISERROR(MATCH(A49,'liste reference'!$A$6:$A$1174,0)),IF(ISERROR(MATCH(A49,'liste reference'!$B$6:$B$1174,0)),"",(MATCH(A49,'liste reference'!$B$6:$B$1174,0))),(MATCH(A49,'liste reference'!$A$6:$A$1174,0)))</f>
        <v>961</v>
      </c>
    </row>
    <row r="50" customFormat="false" ht="12.75" hidden="false" customHeight="false" outlineLevel="0" collapsed="false">
      <c r="A50" s="489" t="s">
        <v>2871</v>
      </c>
      <c r="B50" s="490"/>
      <c r="C50" s="491" t="n">
        <v>0.02</v>
      </c>
      <c r="D50" s="492" t="str">
        <f aca="false">IF(ISERROR(VLOOKUP($A50,'liste reference'!$A$6:$B$1174,2,0)),IF(ISERROR(VLOOKUP($A50,'liste reference'!$B$6:$B$1174,1,0)),"",VLOOKUP($A50,'liste reference'!$B$6:$B$1174,1,0)),VLOOKUP($A50,'liste reference'!$A$6:$B$1174,2,0))</f>
        <v>Scrophularia auriculata</v>
      </c>
      <c r="E50" s="493" t="e">
        <f aca="false">IF(D50="",0,VLOOKUP(D50,D$22:D49,1,0))</f>
        <v>#N/A</v>
      </c>
      <c r="F50" s="494" t="n">
        <f aca="false">IF(AND(OR(A50="",A50="!!!!!!"),B50="",C50=""),"",IF(OR(AND(B50="",C50=""),ISERROR(C50+B50)),"!!!",($B50*$B$7+$C50*$C$7)/100))</f>
        <v>0.0152</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Scrophularia auriculata</v>
      </c>
      <c r="M50" s="498"/>
      <c r="N50" s="498"/>
      <c r="O50" s="498"/>
      <c r="P50" s="499" t="s">
        <v>3448</v>
      </c>
      <c r="Q50" s="500" t="n">
        <f aca="false">IF(OR($A50="NEWCOD",$A50="!!!!!!"),IF(X50="","NoCod",X50),IF($A50="","",IF(ISERROR(VLOOKUP($A50,'liste reference'!$A$6:$H$1174,8,0)),IF(ISERROR(VLOOKUP($A50,'liste reference'!$B$6:$H$1174,7,0)),"",VLOOKUP($A50,'liste reference'!$B$6:$H$1174,7,0)),VLOOKUP($A50,'liste reference'!$A$6:$H$1174,8,0))))</f>
        <v>1950</v>
      </c>
      <c r="R50" s="484" t="n">
        <f aca="false">IF(ISTEXT(H50),"",(B50*$B$7/100)+(C50*$C$7/100))</f>
        <v>0.0152</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SCRAUR</v>
      </c>
      <c r="Z50" s="470" t="n">
        <f aca="false">IF(ISERROR(MATCH(A50,'liste reference'!$A$6:$A$1174,0)),IF(ISERROR(MATCH(A50,'liste reference'!$B$6:$B$1174,0)),"",(MATCH(A50,'liste reference'!$B$6:$B$1174,0))),(MATCH(A50,'liste reference'!$A$6:$A$1174,0)))</f>
        <v>962</v>
      </c>
    </row>
    <row r="51" customFormat="false" ht="12.75" hidden="false" customHeight="false" outlineLevel="0" collapsed="false">
      <c r="A51" s="489" t="s">
        <v>2888</v>
      </c>
      <c r="B51" s="490"/>
      <c r="C51" s="491" t="n">
        <v>0.01</v>
      </c>
      <c r="D51" s="492" t="str">
        <f aca="false">IF(ISERROR(VLOOKUP($A51,'liste reference'!$A$6:$B$1174,2,0)),IF(ISERROR(VLOOKUP($A51,'liste reference'!$B$6:$B$1174,1,0)),"",VLOOKUP($A51,'liste reference'!$B$6:$B$1174,1,0)),VLOOKUP($A51,'liste reference'!$A$6:$B$1174,2,0))</f>
        <v>Solanum dulcamara</v>
      </c>
      <c r="E51" s="493" t="e">
        <f aca="false">IF(D51="",0,VLOOKUP(D51,D$22:D50,1,0))</f>
        <v>#N/A</v>
      </c>
      <c r="F51" s="494" t="n">
        <f aca="false">IF(AND(OR(A51="",A51="!!!!!!"),B51="",C51=""),"",IF(OR(AND(B51="",C51=""),ISERROR(C51+B51)),"!!!",($B51*$B$7+$C51*$C$7)/100))</f>
        <v>0.0076</v>
      </c>
      <c r="G51" s="495" t="str">
        <f aca="false">IF(A51="","",IF(ISERROR(VLOOKUP($A51,'liste reference'!$A$6:$Q$1174,9,0)),IF(ISERROR(VLOOKUP($A51,'liste reference'!$B$6:$Q$1174,8,0)),"    -",VLOOKUP($A51,'liste reference'!$B$6:$Q$1174,8,0)),VLOOKUP($A51,'liste reference'!$A$6:$Q$1174,9,0)))</f>
        <v>PHg</v>
      </c>
      <c r="H51" s="496" t="n">
        <f aca="false">IF(A51="","x",IF(ISERROR(VLOOKUP($A51,'liste reference'!$A$6:$Q$1174,10,0)),IF(ISERROR(VLOOKUP($A51,'liste reference'!$B$6:$Q$1174,9,0)),"x",VLOOKUP($A51,'liste reference'!$B$6:$Q$1174,9,0)),VLOOKUP($A51,'liste reference'!$A$6:$Q$1174,10,0)))</f>
        <v>9</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Solanum dulcamara</v>
      </c>
      <c r="M51" s="498"/>
      <c r="N51" s="498"/>
      <c r="O51" s="498"/>
      <c r="P51" s="499" t="s">
        <v>3448</v>
      </c>
      <c r="Q51" s="500" t="n">
        <f aca="false">IF(OR($A51="NEWCOD",$A51="!!!!!!"),IF(X51="","NoCod",X51),IF($A51="","",IF(ISERROR(VLOOKUP($A51,'liste reference'!$A$6:$H$1174,8,0)),IF(ISERROR(VLOOKUP($A51,'liste reference'!$B$6:$H$1174,7,0)),"",VLOOKUP($A51,'liste reference'!$B$6:$H$1174,7,0)),VLOOKUP($A51,'liste reference'!$A$6:$H$1174,8,0))))</f>
        <v>1964</v>
      </c>
      <c r="R51" s="484" t="n">
        <f aca="false">IF(ISTEXT(H51),"",(B51*$B$7/100)+(C51*$C$7/100))</f>
        <v>0.0076</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SOADUL</v>
      </c>
      <c r="Z51" s="470" t="n">
        <f aca="false">IF(ISERROR(MATCH(A51,'liste reference'!$A$6:$A$1174,0)),IF(ISERROR(MATCH(A51,'liste reference'!$B$6:$B$1174,0)),"",(MATCH(A51,'liste reference'!$B$6:$B$1174,0))),(MATCH(A51,'liste reference'!$A$6:$A$1174,0)))</f>
        <v>969</v>
      </c>
    </row>
    <row r="52" customFormat="false" ht="12.75" hidden="false" customHeight="false" outlineLevel="0" collapsed="false">
      <c r="A52" s="489" t="s">
        <v>3252</v>
      </c>
      <c r="B52" s="490" t="n">
        <v>0.01</v>
      </c>
      <c r="C52" s="491"/>
      <c r="D52" s="492" t="str">
        <f aca="false">IF(ISERROR(VLOOKUP($A52,'liste reference'!$A$6:$B$1174,2,0)),IF(ISERROR(VLOOKUP($A52,'liste reference'!$B$6:$B$1174,1,0)),"",VLOOKUP($A52,'liste reference'!$B$6:$B$1174,1,0)),VLOOKUP($A52,'liste reference'!$A$6:$B$1174,2,0))</f>
        <v>Ranunculus repens</v>
      </c>
      <c r="E52" s="493" t="e">
        <f aca="false">IF(D52="",0,VLOOKUP(D52,D$22:D51,1,0))</f>
        <v>#N/A</v>
      </c>
      <c r="F52" s="494" t="n">
        <f aca="false">IF(AND(OR(A52="",A52="!!!!!!"),B52="",C52=""),"",IF(OR(AND(B52="",C52=""),ISERROR(C52+B52)),"!!!",($B52*$B$7+$C52*$C$7)/100))</f>
        <v>0.0024</v>
      </c>
      <c r="G52" s="495" t="str">
        <f aca="false">IF(A52="","",IF(ISERROR(VLOOKUP($A52,'liste reference'!$A$6:$Q$1174,9,0)),IF(ISERROR(VLOOKUP($A52,'liste reference'!$B$6:$Q$1174,8,0)),"    -",VLOOKUP($A52,'liste reference'!$B$6:$Q$1174,8,0)),VLOOKUP($A52,'liste reference'!$A$6:$Q$1174,9,0)))</f>
        <v>PHx</v>
      </c>
      <c r="H52" s="496" t="n">
        <f aca="false">IF(A52="","x",IF(ISERROR(VLOOKUP($A52,'liste reference'!$A$6:$Q$1174,10,0)),IF(ISERROR(VLOOKUP($A52,'liste reference'!$B$6:$Q$1174,9,0)),"x",VLOOKUP($A52,'liste reference'!$B$6:$Q$1174,9,0)),VLOOKUP($A52,'liste reference'!$A$6:$Q$1174,10,0)))</f>
        <v>10</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Ranunculus repens</v>
      </c>
      <c r="M52" s="498"/>
      <c r="N52" s="498"/>
      <c r="O52" s="498"/>
      <c r="P52" s="499" t="s">
        <v>3448</v>
      </c>
      <c r="Q52" s="500" t="n">
        <f aca="false">IF(OR($A52="NEWCOD",$A52="!!!!!!"),IF(X52="","NoCod",X52),IF($A52="","",IF(ISERROR(VLOOKUP($A52,'liste reference'!$A$6:$H$1174,8,0)),IF(ISERROR(VLOOKUP($A52,'liste reference'!$B$6:$H$1174,7,0)),"",VLOOKUP($A52,'liste reference'!$B$6:$H$1174,7,0)),VLOOKUP($A52,'liste reference'!$A$6:$H$1174,8,0))))</f>
        <v>1910</v>
      </c>
      <c r="R52" s="484" t="n">
        <f aca="false">IF(ISTEXT(H52),"",(B52*$B$7/100)+(C52*$C$7/100))</f>
        <v>0.0024</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RANREP</v>
      </c>
      <c r="Z52" s="470" t="n">
        <f aca="false">IF(ISERROR(MATCH(A52,'liste reference'!$A$6:$A$1174,0)),IF(ISERROR(MATCH(A52,'liste reference'!$B$6:$B$1174,0)),"",(MATCH(A52,'liste reference'!$B$6:$B$1174,0))),(MATCH(A52,'liste reference'!$A$6:$A$1174,0)))</f>
        <v>1128</v>
      </c>
    </row>
    <row r="53" customFormat="false" ht="12.75" hidden="false" customHeight="false" outlineLevel="0" collapsed="false">
      <c r="A53" s="489" t="s">
        <v>3449</v>
      </c>
      <c r="B53" s="490" t="n">
        <v>0.01</v>
      </c>
      <c r="C53" s="491" t="n">
        <v>0.01</v>
      </c>
      <c r="D53" s="492" t="str">
        <f aca="false">IF(ISERROR(VLOOKUP($A53,'liste reference'!$A$6:$B$1174,2,0)),IF(ISERROR(VLOOKUP($A53,'liste reference'!$B$6:$B$1174,1,0)),"",VLOOKUP($A53,'liste reference'!$B$6:$B$1174,1,0)),VLOOKUP($A53,'liste reference'!$A$6:$B$1174,2,0))</f>
        <v/>
      </c>
      <c r="E53" s="493" t="n">
        <f aca="false">IF(D53="",0,VLOOKUP(D53,D$22:D52,1,0))</f>
        <v>0</v>
      </c>
      <c r="F53" s="494" t="n">
        <f aca="false">IF(AND(OR(A53="",A53="!!!!!!"),B53="",C53=""),"",IF(OR(AND(B53="",C53=""),ISERROR(C53+B53)),"!!!",($B53*$B$7+$C53*$C$7)/100))</f>
        <v>0.01</v>
      </c>
      <c r="G53" s="495" t="str">
        <f aca="false">IF(A53="","",IF(ISERROR(VLOOKUP($A53,'liste reference'!$A$6:$Q$1174,9,0)),IF(ISERROR(VLOOKUP($A53,'liste reference'!$B$6:$Q$1174,8,0)),"    -",VLOOKUP($A53,'liste reference'!$B$6:$Q$1174,8,0)),VLOOKUP($A53,'liste reference'!$A$6:$Q$1174,9,0)))</f>
        <v>    -</v>
      </c>
      <c r="H53" s="496" t="str">
        <f aca="false">IF(A53="","x",IF(ISERROR(VLOOKUP($A53,'liste reference'!$A$6:$Q$1174,10,0)),IF(ISERROR(VLOOKUP($A53,'liste reference'!$B$6:$Q$1174,9,0)),"x",VLOOKUP($A53,'liste reference'!$B$6:$Q$1174,9,0)),VLOOKUP($A53,'liste reference'!$A$6:$Q$1174,10,0)))</f>
        <v>x</v>
      </c>
      <c r="I53" s="281" t="n">
        <f aca="false">IF(A53="","",1)</f>
        <v>1</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Lotus rectus</v>
      </c>
      <c r="M53" s="498"/>
      <c r="N53" s="498"/>
      <c r="O53" s="498"/>
      <c r="P53" s="499" t="s">
        <v>3448</v>
      </c>
      <c r="Q53" s="500" t="n">
        <f aca="false">IF(OR($A53="NEWCOD",$A53="!!!!!!"),IF(X53="","NoCod",X53),IF($A53="","",IF(ISERROR(VLOOKUP($A53,'liste reference'!$A$6:$H$1174,8,0)),IF(ISERROR(VLOOKUP($A53,'liste reference'!$B$6:$H$1174,7,0)),"",VLOOKUP($A53,'liste reference'!$B$6:$H$1174,7,0)),VLOOKUP($A53,'liste reference'!$A$6:$H$1174,8,0))))</f>
        <v>43371</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t="s">
        <v>3450</v>
      </c>
      <c r="X53" s="503" t="n">
        <v>43371</v>
      </c>
      <c r="Y53" s="488" t="str">
        <f aca="false">IF(AND(ISNUMBER(F53),OR(A53="",A53="!!!!!!")),"!!!!!!",IF(A53="new.cod","NEWCOD",IF(AND((Z53=""),ISTEXT(A53),A53&lt;&gt;"!!!!!!"),A53,IF(Z53="","",INDEX('liste reference'!$A$6:$A$1174,Z53)))))</f>
        <v>NEWCOD</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54.982</v>
      </c>
      <c r="G83" s="424"/>
      <c r="H83" s="424"/>
      <c r="I83" s="424"/>
      <c r="J83" s="424"/>
      <c r="K83" s="424"/>
      <c r="L83" s="424"/>
      <c r="M83" s="485"/>
      <c r="N83" s="485"/>
      <c r="O83" s="485"/>
      <c r="P83" s="485"/>
      <c r="Q83" s="485"/>
      <c r="R83" s="485"/>
      <c r="S83" s="485"/>
      <c r="T83" s="485"/>
      <c r="U83" s="485"/>
      <c r="V83" s="485" t="n">
        <f aca="false">SUM(V23:V82)</f>
        <v>46</v>
      </c>
      <c r="W83" s="485"/>
      <c r="X83" s="523"/>
      <c r="Y83" s="523"/>
      <c r="Z83" s="524"/>
    </row>
    <row r="84" customFormat="false" ht="12.75" hidden="true" customHeight="false" outlineLevel="0" collapsed="false">
      <c r="A84" s="518" t="str">
        <f aca="false">A3</f>
        <v>MAURY</v>
      </c>
      <c r="B84" s="453" t="str">
        <f aca="false">C3</f>
        <v>MAURY A MAURY</v>
      </c>
      <c r="C84" s="525" t="str">
        <f aca="false">A4</f>
        <v>(Date)</v>
      </c>
      <c r="D84" s="526" t="n">
        <f aca="false">IF(OR(ISERROR(SUM($U$23:$U$82)/SUM($V$23:$V$82)),F7&lt;&gt;100),-1,SUM($U$23:$U$82)/SUM($V$23:$V$82))</f>
        <v>8.21739130434783</v>
      </c>
      <c r="E84" s="527" t="n">
        <f aca="false">O13</f>
        <v>31</v>
      </c>
      <c r="F84" s="453" t="n">
        <f aca="false">O14</f>
        <v>16</v>
      </c>
      <c r="G84" s="453" t="n">
        <f aca="false">O15</f>
        <v>10</v>
      </c>
      <c r="H84" s="453" t="n">
        <f aca="false">O16</f>
        <v>6</v>
      </c>
      <c r="I84" s="453" t="n">
        <f aca="false">O17</f>
        <v>0</v>
      </c>
      <c r="J84" s="528" t="n">
        <f aca="false">O8</f>
        <v>8.9375</v>
      </c>
      <c r="K84" s="529" t="n">
        <f aca="false">O9</f>
        <v>2.83876623729394</v>
      </c>
      <c r="L84" s="530" t="n">
        <f aca="false">O10</f>
        <v>4</v>
      </c>
      <c r="M84" s="530" t="n">
        <f aca="false">O11</f>
        <v>13</v>
      </c>
      <c r="N84" s="529" t="n">
        <f aca="false">P8</f>
        <v>1.375</v>
      </c>
      <c r="O84" s="529" t="n">
        <f aca="false">P9</f>
        <v>0.484122918275927</v>
      </c>
      <c r="P84" s="530" t="n">
        <f aca="false">P10</f>
        <v>1</v>
      </c>
      <c r="Q84" s="530" t="n">
        <f aca="false">P11</f>
        <v>2</v>
      </c>
      <c r="R84" s="530" t="n">
        <f aca="false">F21</f>
        <v>54.982</v>
      </c>
      <c r="S84" s="530" t="n">
        <f aca="false">L11</f>
        <v>0</v>
      </c>
      <c r="T84" s="530" t="n">
        <f aca="false">L12</f>
        <v>8</v>
      </c>
      <c r="U84" s="530" t="n">
        <f aca="false">L13</f>
        <v>2</v>
      </c>
      <c r="V84" s="531" t="n">
        <f aca="false">L15</f>
        <v>17</v>
      </c>
      <c r="W84" s="532" t="n">
        <f aca="false">L15</f>
        <v>17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36</v>
      </c>
      <c r="U88" s="281"/>
      <c r="V88" s="281" t="n">
        <f aca="false">COUNTIF(V23:V82,T89)</f>
        <v>2</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8.55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OEDSPX</v>
      </c>
      <c r="U91" s="281" t="n">
        <f aca="false">IF(ISERROR(MATCH($T$93,'liste reference'!$A$6:$A$1174,0)),MATCH($T$93,'liste reference'!$B$6:$B$1174,0),(MATCH($T$93,'liste reference'!$A$6:$A$1174,0)))</f>
        <v>85</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OEDSPX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3449</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2017-11-24T14:28:42Z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