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Rebenty à Cailla"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'Rebenty à Cailla'!$A$1:$O$82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'Rebenty à Cailla'!$A$23:$J$84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<sst xmlns="http://schemas.openxmlformats.org/spreadsheetml/2006/main" count="7342" uniqueCount="2728">
  <si>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</si>
  <si>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</si>
  <si>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</si>
  <si>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</si>
  <si>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</si>
  <si>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</si>
  <si>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</si>
  <si>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</si>
  <si>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</si>
  <si>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</si>
  <si>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</si>
  <si>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</si>
  <si>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</si>
  <si>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</si>
  <si>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</si>
  <si>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</si>
  <si>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</si>
  <si>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</si>
  <si>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</si>
  <si>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</si>
  <si>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</si>
  <si>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</si>
  <si>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</si>
  <si>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</si>
  <si>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</si>
  <si>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</si>
  <si>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</si>
  <si>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</si>
  <si>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</si>
  <si>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</si>
  <si>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</si>
  <si>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</si>
  <si>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</si>
  <si>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</si>
  <si>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</si>
  <si>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</si>
  <si>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</si>
  <si>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</si>
  <si>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</si>
  <si>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</si>
  <si>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</si>
  <si>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</si>
  <si>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</si>
  <si>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</si>
  <si>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</si>
  <si>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</si>
  <si>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</si>
  <si>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</si>
  <si>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</si>
  <si>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</si>
  <si>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</si>
  <si>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</si>
  <si>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</si>
  <si>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</si>
  <si>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</si>
  <si>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</si>
  <si>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</si>
  <si>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</si>
  <si>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</si>
  <si>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</si>
  <si>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</si>
  <si>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</si>
  <si>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</si>
  <si>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</si>
  <si>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</si>
  <si>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</si>
  <si>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</si>
  <si>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</si>
  <si>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</si>
  <si>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</si>
  <si>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</si>
  <si>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</si>
  <si>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</si>
  <si>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</si>
  <si>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</si>
  <si>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</si>
  <si>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</si>
  <si>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</si>
  <si>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</si>
  <si>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</si>
  <si>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</si>
  <si>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</si>
  <si>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</si>
  <si>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</si>
  <si>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</si>
  <si>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</si>
  <si>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</si>
  <si>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</si>
  <si>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</si>
  <si>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</si>
  <si>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</si>
  <si>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</si>
  <si>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</si>
  <si>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</si>
  <si>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</si>
  <si>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</si>
  <si>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</si>
  <si>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</si>
  <si>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</si>
  <si>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</si>
  <si>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</si>
  <si>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</si>
  <si>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</si>
  <si>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</si>
  <si>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</si>
  <si>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</si>
  <si>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</si>
  <si>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</si>
  <si>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</si>
  <si>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</si>
  <si>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</si>
  <si>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</si>
  <si>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</si>
  <si>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</si>
  <si>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</si>
  <si>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</si>
  <si>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</si>
  <si>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</si>
  <si>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</si>
  <si>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</si>
  <si>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</si>
  <si>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</si>
  <si>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</si>
  <si>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</si>
  <si>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</si>
  <si>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</si>
  <si>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</si>
  <si>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</si>
  <si>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</si>
  <si>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</si>
  <si>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</si>
  <si>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</si>
  <si>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</si>
  <si>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</si>
  <si>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</si>
  <si>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</si>
  <si>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</si>
  <si>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</si>
  <si>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</si>
  <si>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</si>
  <si>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</si>
  <si>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</si>
  <si>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</si>
  <si>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</si>
  <si>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</si>
  <si>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</si>
  <si>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</si>
  <si>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</si>
  <si>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</si>
  <si>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</si>
  <si>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</si>
  <si>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</si>
  <si>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</si>
  <si>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</si>
  <si>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</si>
  <si>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</si>
  <si>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</si>
  <si>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</si>
  <si>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</si>
  <si>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</si>
  <si>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</si>
  <si>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</si>
  <si>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</si>
  <si>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</si>
  <si>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</si>
  <si>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</si>
  <si>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</si>
  <si>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</si>
  <si>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</si>
  <si>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</si>
  <si>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</si>
  <si>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</si>
  <si>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</si>
  <si>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</si>
  <si>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</si>
  <si>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</si>
  <si>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</si>
  <si>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</si>
  <si>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</si>
  <si>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</si>
  <si>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</si>
  <si>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</si>
  <si>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</si>
  <si>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</si>
  <si>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</si>
  <si>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</si>
  <si>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</si>
  <si>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</si>
  <si>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</si>
  <si>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</si>
  <si>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</si>
  <si>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</si>
  <si>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</si>
  <si>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</si>
  <si>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</si>
  <si>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</si>
  <si>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</si>
  <si>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</si>
  <si>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</si>
  <si>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</si>
  <si>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</si>
  <si>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</si>
  <si>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</si>
  <si>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</si>
  <si>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</si>
  <si>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</si>
  <si>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</si>
  <si>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</si>
  <si>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</si>
  <si>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</si>
  <si>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</si>
  <si>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</si>
  <si>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</si>
  <si>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</si>
  <si>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</si>
  <si>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</si>
  <si>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</si>
  <si>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</si>
  <si>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</si>
  <si>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</si>
  <si>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</si>
  <si>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</si>
  <si>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</si>
  <si>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</si>
  <si>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</si>
  <si>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</si>
  <si>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</si>
  <si>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</si>
  <si>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</si>
  <si>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</si>
  <si>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</si>
  <si>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</si>
  <si>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</si>
  <si>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</si>
  <si>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</si>
  <si>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</si>
  <si>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</si>
  <si>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</si>
  <si>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</si>
  <si>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</si>
  <si>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</si>
  <si>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</si>
  <si>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</si>
  <si>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</si>
  <si>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</si>
  <si>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</si>
  <si>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</si>
  <si>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</si>
  <si>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</si>
  <si>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</si>
  <si>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</si>
  <si>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</si>
  <si>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</si>
  <si>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</si>
  <si>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</si>
  <si>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</si>
  <si>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</si>
  <si>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</si>
  <si>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</si>
  <si>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</si>
  <si>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</si>
  <si>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</si>
  <si>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</si>
  <si>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</si>
  <si>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</si>
  <si>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</si>
  <si>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</si>
  <si>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</si>
  <si>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</si>
  <si>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</si>
  <si>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</si>
  <si>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</si>
  <si>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</si>
  <si>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</si>
  <si>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</si>
  <si>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</si>
  <si>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</si>
  <si>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</si>
  <si>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</si>
  <si>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</si>
  <si>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</si>
  <si>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</si>
  <si>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</si>
  <si>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</si>
  <si>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</si>
  <si>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</si>
  <si>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</si>
  <si>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</si>
  <si>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</si>
  <si>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</si>
  <si>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</si>
  <si>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</si>
  <si>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</si>
  <si>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</si>
  <si>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</si>
  <si>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</si>
  <si>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</si>
  <si>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</si>
  <si>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</si>
  <si>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</si>
  <si>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</si>
  <si>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</si>
  <si>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</si>
  <si>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</si>
  <si>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</si>
  <si>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</si>
  <si>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</si>
  <si>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</si>
  <si>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</si>
  <si>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</si>
  <si>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</si>
  <si>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</si>
  <si>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</si>
  <si>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</si>
  <si>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</si>
  <si>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</si>
  <si>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</si>
  <si>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</si>
  <si>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</si>
  <si>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</si>
  <si>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</si>
  <si>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</si>
  <si>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</si>
  <si>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</si>
  <si>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</si>
  <si>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</si>
  <si>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</si>
  <si>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</si>
  <si>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</si>
  <si>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</si>
  <si>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</si>
  <si>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</si>
  <si>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</si>
  <si>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</si>
  <si>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</si>
  <si>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</si>
  <si>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</si>
  <si>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</si>
  <si>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</si>
  <si>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</si>
  <si>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</si>
  <si>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</si>
  <si>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</si>
  <si>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</si>
  <si>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</si>
  <si>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</si>
  <si>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</si>
  <si>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</si>
  <si>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</si>
  <si>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</si>
  <si>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</si>
  <si>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</si>
  <si>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</si>
  <si>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</si>
  <si>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</si>
  <si>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</si>
  <si>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</si>
  <si>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</si>
  <si>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</si>
  <si>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</si>
  <si>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</si>
  <si>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</si>
  <si>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</si>
  <si>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</si>
  <si>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</si>
  <si>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</si>
  <si>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</si>
  <si>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</si>
  <si>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</si>
  <si>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</si>
  <si>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</si>
  <si>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</si>
  <si>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</si>
  <si>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</si>
  <si>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</si>
  <si>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</si>
  <si>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</si>
  <si>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</si>
  <si>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</si>
  <si>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</si>
  <si>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</si>
  <si>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</si>
  <si>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</si>
  <si>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</si>
  <si>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</si>
  <si>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</si>
  <si>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</si>
  <si>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</si>
  <si>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</si>
  <si>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</si>
  <si>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</si>
  <si>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</si>
  <si>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</si>
  <si>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</si>
  <si>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</si>
  <si>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</si>
  <si>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</si>
  <si>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</si>
  <si>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</si>
  <si>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</si>
  <si>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</si>
  <si>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</si>
  <si>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</si>
  <si>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</si>
  <si>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</si>
  <si>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</si>
  <si>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</si>
  <si>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</si>
  <si>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</si>
  <si>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</si>
  <si>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</si>
  <si>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</si>
  <si>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</si>
  <si>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</si>
  <si>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</si>
  <si>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</si>
  <si>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</si>
  <si>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</si>
  <si>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</si>
  <si>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</si>
  <si>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</si>
  <si>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</si>
  <si>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</si>
  <si>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</si>
  <si>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</si>
  <si>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</si>
  <si>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</si>
  <si>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</si>
  <si>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</si>
  <si>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</si>
  <si>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</si>
  <si>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</si>
  <si>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</si>
  <si>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</si>
  <si>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</si>
  <si>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</si>
  <si>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</si>
  <si>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</si>
  <si>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</si>
  <si>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</si>
  <si>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</si>
  <si>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</si>
  <si>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</si>
  <si>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</si>
  <si>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</si>
  <si>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</si>
  <si>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</si>
  <si>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</si>
  <si>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</si>
  <si>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</si>
  <si>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</si>
  <si>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</si>
  <si>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</si>
  <si>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</si>
  <si>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</si>
  <si>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</si>
  <si>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</si>
  <si>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</si>
  <si>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</si>
  <si>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</si>
  <si>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</si>
  <si>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</si>
  <si>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</si>
  <si>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</si>
  <si>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</si>
  <si>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</si>
  <si>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</si>
  <si>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</si>
  <si>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</si>
  <si>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</si>
  <si>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</si>
  <si>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</si>
  <si>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</si>
  <si>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</si>
  <si>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</si>
  <si>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</si>
  <si>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</si>
  <si>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</si>
  <si>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</si>
  <si>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</si>
  <si>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</si>
  <si>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</si>
  <si>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</si>
  <si>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</si>
  <si>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</si>
  <si>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</si>
  <si>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</si>
  <si>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</si>
  <si>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</si>
  <si>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</si>
  <si>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</si>
  <si>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</si>
  <si>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</si>
  <si>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</si>
  <si>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</si>
  <si>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</si>
  <si>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</si>
  <si>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</si>
  <si>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</si>
  <si>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</si>
  <si>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</si>
  <si>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</si>
  <si>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</si>
  <si>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</si>
  <si>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</si>
  <si>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</si>
  <si>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</si>
  <si>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</si>
  <si>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</si>
  <si>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</si>
  <si>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</si>
  <si>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</si>
  <si>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</si>
  <si>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</si>
  <si>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</si>
  <si>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</si>
  <si>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</si>
  <si>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</si>
  <si>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</si>
  <si>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</si>
  <si>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</si>
  <si>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</si>
  <si>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</si>
  <si>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</si>
  <si>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</si>
  <si>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</si>
  <si>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</si>
  <si>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</si>
  <si>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</si>
  <si>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</si>
  <si>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</si>
  <si>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</si>
  <si>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</si>
  <si>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</si>
  <si>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</si>
  <si>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</si>
  <si>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</si>
  <si>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</si>
  <si>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</si>
  <si>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</si>
  <si>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</si>
  <si>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</si>
  <si>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</si>
  <si>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</si>
  <si>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</si>
  <si>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</si>
  <si>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</si>
  <si>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</si>
  <si>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</si>
  <si>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</si>
  <si>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</si>
  <si>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</si>
  <si>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</si>
  <si>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</si>
  <si>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</si>
  <si>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</si>
  <si>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</si>
  <si>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</si>
  <si>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</si>
  <si>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</si>
  <si>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</si>
  <si>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</si>
  <si>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</si>
  <si>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</si>
  <si>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</si>
  <si>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</si>
  <si>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</si>
  <si>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</si>
  <si>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</si>
  <si>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</si>
  <si>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</si>
  <si>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</si>
  <si>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</si>
  <si>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</si>
  <si>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</si>
  <si>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</si>
  <si>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</si>
  <si>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</si>
  <si>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</si>
  <si>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</si>
  <si>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</si>
  <si>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</si>
  <si>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</si>
  <si>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</si>
  <si>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</si>
  <si>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</si>
  <si>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</si>
  <si>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</si>
  <si>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</si>
  <si>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</si>
  <si>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</si>
  <si>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</si>
  <si>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</si>
  <si>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</si>
  <si>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</si>
  <si>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</si>
  <si>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</si>
  <si>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</si>
  <si>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</si>
  <si>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</si>
  <si>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</si>
  <si>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</si>
  <si>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</si>
  <si>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</si>
  <si>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</si>
  <si>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</si>
  <si>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</si>
  <si>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</si>
  <si>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</si>
  <si>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</si>
  <si>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</si>
  <si>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</si>
  <si>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</si>
  <si>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</si>
  <si>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</si>
  <si>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</si>
  <si>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</si>
  <si>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</si>
  <si>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</si>
  <si>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</si>
  <si>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</si>
  <si>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</si>
  <si>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</si>
  <si>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</si>
  <si>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</si>
  <si>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</si>
  <si>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</si>
  <si>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</si>
  <si>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</si>
  <si>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</si>
  <si>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</si>
  <si>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</si>
  <si>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</si>
  <si>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</si>
  <si>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</si>
  <si>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</si>
  <si>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</si>
  <si>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</si>
  <si>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</si>
  <si>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</si>
  <si>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</si>
  <si>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</si>
  <si>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</si>
  <si>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</si>
  <si>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</si>
  <si>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</si>
  <si>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</si>
  <si>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</si>
  <si>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</si>
  <si>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</si>
  <si>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</si>
  <si>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</si>
  <si>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</si>
  <si>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</si>
  <si>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</si>
  <si>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</si>
  <si>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</si>
  <si>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</si>
  <si>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</si>
  <si>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</si>
  <si>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</si>
  <si>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</si>
  <si>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</si>
  <si>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</si>
  <si>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</si>
  <si>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</si>
  <si>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</si>
  <si>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</si>
  <si>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</si>
  <si>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</si>
  <si>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</si>
  <si>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</si>
  <si>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</si>
  <si>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</si>
  <si>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</si>
  <si>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</si>
  <si>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</si>
  <si>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</si>
  <si>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</si>
  <si>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</si>
  <si>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</si>
  <si>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</si>
  <si>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</si>
  <si>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</si>
  <si>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</si>
  <si>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</si>
  <si>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</si>
  <si>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</si>
  <si>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</si>
  <si>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</si>
  <si>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</si>
  <si>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</si>
  <si>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</si>
  <si>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</si>
  <si>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</si>
  <si>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</si>
  <si>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</si>
  <si>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</si>
  <si>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</si>
  <si>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</si>
  <si>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</si>
  <si>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</si>
  <si>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</si>
  <si>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</si>
  <si>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</si>
  <si>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</si>
  <si>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</si>
  <si>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</si>
  <si>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</si>
  <si>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</si>
  <si>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</si>
  <si>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</si>
  <si>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</si>
  <si>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</si>
  <si>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</si>
  <si>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</si>
  <si>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</si>
  <si>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</si>
  <si>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</si>
  <si>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</si>
  <si>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</si>
  <si>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</si>
  <si>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</si>
  <si>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</si>
  <si>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</si>
  <si>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</si>
  <si>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</si>
  <si>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</si>
  <si>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</si>
  <si>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</si>
  <si>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</si>
  <si>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</si>
  <si>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</si>
  <si>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</si>
  <si>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</si>
  <si>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</si>
  <si>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</si>
  <si>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</si>
  <si>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</si>
  <si>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</si>
  <si>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</si>
  <si>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</si>
  <si>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</si>
  <si>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</si>
  <si>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</si>
  <si>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</si>
  <si>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</si>
  <si>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</si>
  <si>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</si>
  <si>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</si>
  <si>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</si>
  <si>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</si>
  <si>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</si>
  <si>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</si>
  <si>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</si>
  <si>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</si>
  <si>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</si>
  <si>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</si>
  <si>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</si>
  <si>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</si>
  <si>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</si>
  <si>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</si>
  <si>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</si>
  <si>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</si>
  <si>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</si>
  <si>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</si>
  <si>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</si>
  <si>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</si>
  <si>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</si>
  <si>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</si>
  <si>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</si>
  <si>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</si>
  <si>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</si>
  <si>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</si>
  <si>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</si>
  <si>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</si>
  <si>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</si>
  <si>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</si>
  <si>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</si>
  <si>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</si>
  <si>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</si>
  <si>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</si>
  <si>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</si>
  <si>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</si>
  <si>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</si>
  <si>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</si>
  <si>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</si>
  <si>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</si>
  <si>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</si>
  <si>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</si>
  <si>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</si>
  <si>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</si>
  <si>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</si>
  <si>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</si>
  <si>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</si>
  <si>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</si>
  <si>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</si>
  <si>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</si>
  <si>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</si>
  <si>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</si>
  <si>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</si>
  <si>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</si>
  <si>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</si>
  <si>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</si>
  <si>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</si>
  <si>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</si>
  <si>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</si>
  <si>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</si>
  <si>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</si>
  <si>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</si>
  <si>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</si>
  <si>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</si>
  <si>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</si>
  <si>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</si>
  <si>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</si>
  <si>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</si>
  <si>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</si>
  <si>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</si>
  <si>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</si>
  <si>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</si>
  <si>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</si>
  <si>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</si>
  <si>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</si>
  <si>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</si>
  <si>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</si>
  <si>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</si>
  <si>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</si>
  <si>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</si>
  <si>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</si>
  <si>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</si>
  <si>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</si>
  <si>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</si>
  <si>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</si>
  <si>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</si>
  <si>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</si>
  <si>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</si>
  <si>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</si>
  <si>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</si>
  <si>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</si>
  <si>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</si>
  <si>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</si>
  <si>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</si>
  <si>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</si>
  <si>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</si>
  <si>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</si>
  <si>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</si>
  <si>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</si>
  <si>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</si>
  <si>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</si>
  <si>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</si>
  <si>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</si>
  <si>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</si>
  <si>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</si>
  <si>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</si>
  <si>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</si>
  <si>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</si>
  <si>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</si>
  <si>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</si>
  <si>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</si>
  <si>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</si>
  <si>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</si>
  <si>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</si>
  <si>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</si>
  <si>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</si>
  <si>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</si>
  <si>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</si>
  <si>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</si>
  <si>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</si>
  <si>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</si>
  <si>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</si>
  <si>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</si>
  <si>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</si>
  <si>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</si>
  <si>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</si>
  <si>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</si>
  <si>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</si>
  <si>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</si>
  <si>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</si>
  <si>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</si>
  <si>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</si>
  <si>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</si>
  <si>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</si>
  <si>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</si>
  <si>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</si>
  <si>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</si>
  <si>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</si>
  <si>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</si>
  <si>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</si>
  <si>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</si>
  <si>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</si>
  <si>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</si>
  <si>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</si>
  <si>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</si>
  <si>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</si>
  <si>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</si>
  <si>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</si>
  <si>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</si>
  <si>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</si>
  <si>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</si>
  <si>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</si>
  <si>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</si>
  <si>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</si>
  <si>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</si>
  <si>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</si>
  <si>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</si>
  <si>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</si>
  <si>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</si>
  <si>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</si>
  <si>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</si>
  <si>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</si>
  <si>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</si>
  <si>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</si>
  <si>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</si>
  <si>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</si>
  <si>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</si>
  <si>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</si>
  <si>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</si>
  <si>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</si>
  <si>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</si>
  <si>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</si>
  <si>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</si>
  <si>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</si>
  <si>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</si>
  <si>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</si>
  <si>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</si>
  <si>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</si>
  <si>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</si>
  <si>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</si>
  <si>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</si>
  <si>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</si>
  <si>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</si>
  <si>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</si>
  <si>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</si>
  <si>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</si>
  <si>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</si>
  <si>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</si>
  <si>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</si>
  <si>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</si>
  <si>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</si>
  <si>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</si>
  <si>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</si>
  <si>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</si>
  <si>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</si>
  <si>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</si>
  <si>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</si>
  <si>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</si>
  <si>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</si>
  <si>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</si>
  <si>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</si>
  <si>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</si>
  <si>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</si>
  <si>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</si>
  <si>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</si>
  <si>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</si>
  <si>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</si>
  <si>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</si>
  <si>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</si>
  <si>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</si>
  <si>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</si>
  <si>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</si>
  <si>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</si>
  <si>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</si>
  <si>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</si>
  <si>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</si>
  <si>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</si>
  <si>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</si>
  <si>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</si>
  <si>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</si>
  <si>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</si>
  <si>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</si>
  <si>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</si>
  <si>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</si>
  <si>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</si>
  <si>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</si>
  <si>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</si>
  <si>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</si>
  <si>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</si>
  <si>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</si>
  <si>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</si>
  <si>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</si>
  <si>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</si>
  <si>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</si>
  <si>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</si>
  <si>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</si>
  <si>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</si>
  <si>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</si>
  <si>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</si>
  <si>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</si>
  <si>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</si>
  <si>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</si>
  <si>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</si>
  <si>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</si>
  <si>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</si>
  <si>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</si>
  <si>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</si>
  <si>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</si>
  <si>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</si>
  <si>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</si>
  <si>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</si>
  <si>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</si>
  <si>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</si>
  <si>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</si>
  <si>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</si>
  <si>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</si>
  <si>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</si>
  <si>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</si>
  <si>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</si>
  <si>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</si>
  <si>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</si>
  <si>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</si>
  <si>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</si>
  <si>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</si>
  <si>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</si>
  <si>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</si>
  <si>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</si>
  <si>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</si>
  <si>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</si>
  <si>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</si>
  <si>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</si>
  <si>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</si>
  <si>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</si>
  <si>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</si>
  <si>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</si>
  <si>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</si>
  <si>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</si>
  <si>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</si>
  <si>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</si>
  <si>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</si>
  <si>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</si>
  <si>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</si>
  <si>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</si>
  <si>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</si>
  <si>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</si>
  <si>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</si>
  <si>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</si>
  <si>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</si>
  <si>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</si>
  <si>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</si>
  <si>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</si>
  <si>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</si>
  <si>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</si>
  <si>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</si>
  <si>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</si>
  <si>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</si>
  <si>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</si>
  <si>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</si>
  <si>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</si>
  <si>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</si>
  <si>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</si>
  <si>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</si>
  <si>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</si>
  <si>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</si>
  <si>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</si>
  <si>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</si>
  <si>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</si>
  <si>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</si>
  <si>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</si>
  <si>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</si>
  <si>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</si>
  <si>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</si>
  <si>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</si>
  <si>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</si>
  <si>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</si>
  <si>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</si>
  <si>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</si>
  <si>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</si>
  <si>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</si>
  <si>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</si>
  <si>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</si>
  <si>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</si>
  <si>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</si>
  <si>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</si>
  <si>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</si>
  <si>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</si>
  <si>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</si>
  <si>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</si>
  <si>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</si>
  <si>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</si>
  <si>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</si>
  <si>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</si>
  <si>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</si>
  <si>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</si>
  <si>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</si>
  <si>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</si>
  <si>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</si>
  <si>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</si>
  <si>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</si>
  <si>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</si>
  <si>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</si>
  <si>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</si>
  <si>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</si>
  <si>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</si>
  <si>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</si>
  <si>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</si>
  <si>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</si>
  <si>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</si>
  <si>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</si>
  <si>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</si>
  <si>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</si>
  <si>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</si>
  <si>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</si>
  <si>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</si>
  <si>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</si>
  <si>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</si>
  <si>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</si>
  <si>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</si>
  <si>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</si>
  <si>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</si>
  <si>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</si>
  <si>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</si>
  <si>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</si>
  <si>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</si>
  <si>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</si>
  <si>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</si>
  <si>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</si>
  <si>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</si>
  <si>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</si>
  <si>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</si>
  <si>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</si>
  <si>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</si>
  <si>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</si>
  <si>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</si>
  <si>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</si>
  <si>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</si>
  <si>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</si>
  <si>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</si>
  <si>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</si>
  <si>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</si>
  <si>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</si>
  <si>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</si>
  <si>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</si>
  <si>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</si>
  <si>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</si>
  <si>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</si>
  <si>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</si>
  <si>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</si>
  <si>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</si>
  <si>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</si>
  <si>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</si>
  <si>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</si>
  <si>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</si>
  <si>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</si>
  <si>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</si>
  <si>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</si>
  <si>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</si>
  <si>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</si>
  <si>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</si>
  <si>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</si>
  <si>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</si>
  <si>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</si>
  <si>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</si>
  <si>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</si>
  <si>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</si>
  <si>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</si>
  <si>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</si>
  <si>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</si>
  <si>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</si>
  <si>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</si>
  <si>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</si>
  <si>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</si>
  <si>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</si>
  <si>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</si>
  <si>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</si>
  <si>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</si>
  <si>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</si>
  <si>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</si>
  <si>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</si>
  <si>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</si>
  <si>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</si>
  <si>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</si>
  <si>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</si>
  <si>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</si>
  <si>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</si>
  <si>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</si>
  <si>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</si>
  <si>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</si>
  <si>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</si>
  <si>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</si>
  <si>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</si>
  <si>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</si>
  <si>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</si>
  <si>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</si>
  <si>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</si>
  <si>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</si>
  <si>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</si>
  <si>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</si>
  <si>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</si>
  <si>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</si>
  <si>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</si>
  <si>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</si>
  <si>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</si>
  <si>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</si>
  <si>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</si>
  <si>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</si>
  <si>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</si>
  <si>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</si>
  <si>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</si>
  <si>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</si>
  <si>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</si>
  <si>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</si>
  <si>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</si>
  <si>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</si>
  <si>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</si>
  <si>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</si>
  <si>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</si>
  <si>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</si>
  <si>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</si>
  <si>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</si>
  <si>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</si>
  <si>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</si>
  <si>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</si>
  <si>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</si>
  <si>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</si>
  <si>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</si>
  <si>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</si>
  <si>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</si>
  <si>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</si>
  <si>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</si>
  <si>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</si>
  <si>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</si>
  <si>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</si>
  <si>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</si>
  <si>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</si>
  <si>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</si>
  <si>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</si>
  <si>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</si>
  <si>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</si>
  <si>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</si>
  <si>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</si>
  <si>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</si>
  <si>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</si>
  <si>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</si>
  <si>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</si>
  <si>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</si>
  <si>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</si>
  <si>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</si>
  <si>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</si>
  <si>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</si>
  <si>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</si>
  <si>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</si>
  <si>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</si>
  <si>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</si>
  <si>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</si>
  <si>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</si>
  <si>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</si>
  <si>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</si>
  <si>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</si>
  <si>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</si>
  <si>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</si>
  <si>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</si>
  <si>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</si>
  <si>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</si>
  <si>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</si>
  <si>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</si>
  <si>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</si>
  <si>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</si>
  <si>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</si>
  <si>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</si>
  <si>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</si>
  <si>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</si>
  <si>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</si>
  <si>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</si>
  <si>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</si>
  <si>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</si>
  <si>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</si>
  <si>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</si>
  <si>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</si>
  <si>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</si>
  <si>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</si>
  <si>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</si>
  <si>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</si>
  <si>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</si>
  <si>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</si>
  <si>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</si>
  <si>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</si>
  <si>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</si>
  <si>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</si>
  <si>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</si>
  <si>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</si>
  <si>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</si>
  <si>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</si>
  <si>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</si>
  <si>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</si>
  <si>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</si>
  <si>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</si>
  <si>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</si>
  <si>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</si>
  <si>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</si>
  <si>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</si>
  <si>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</si>
  <si>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</si>
  <si>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</si>
  <si>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</si>
  <si>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</si>
  <si>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</si>
  <si>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</si>
  <si>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</si>
  <si>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</si>
  <si>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</si>
  <si>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</si>
  <si>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</si>
  <si>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</si>
  <si>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</si>
  <si>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</si>
  <si>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</si>
  <si>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</si>
  <si>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</si>
  <si>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</si>
  <si>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</si>
  <si>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</si>
  <si>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</si>
  <si>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</si>
  <si>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</si>
  <si>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</si>
  <si>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</si>
  <si>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</si>
  <si>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</si>
  <si>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</si>
  <si>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</si>
  <si>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</si>
  <si>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</si>
  <si>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</si>
  <si>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</si>
  <si>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</si>
  <si>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</si>
  <si>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</si>
  <si>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</si>
  <si>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</si>
  <si>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</si>
  <si>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</si>
  <si>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</si>
  <si>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</si>
  <si>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</si>
  <si>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</si>
  <si>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</si>
  <si>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</si>
  <si>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</si>
  <si>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</si>
  <si>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</si>
  <si>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</si>
  <si>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</si>
  <si>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</si>
  <si>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</si>
  <si>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</si>
  <si>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</si>
  <si>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</si>
  <si>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</si>
  <si>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</si>
  <si>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</si>
  <si>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</si>
  <si>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</si>
  <si>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</si>
  <si>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</si>
  <si>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</si>
  <si>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</si>
  <si>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</si>
  <si>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</si>
  <si>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</si>
  <si>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</si>
  <si>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</si>
  <si>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</si>
  <si>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</si>
  <si>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</si>
  <si>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</si>
  <si>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</si>
  <si>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</si>
  <si>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</si>
  <si>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</si>
  <si>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</si>
  <si>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</si>
  <si>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</si>
  <si>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</si>
  <si>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</si>
  <si>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</si>
  <si>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</si>
  <si>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</si>
  <si>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</si>
  <si>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</si>
  <si>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</si>
  <si>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</si>
  <si>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</si>
  <si>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</si>
  <si>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</si>
  <si>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</si>
  <si>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</si>
  <si>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</si>
  <si>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</si>
  <si>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</si>
  <si>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</si>
  <si>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</si>
  <si>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</si>
  <si>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</si>
  <si>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</si>
  <si>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</si>
  <si>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</si>
  <si>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</si>
  <si>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</si>
  <si>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</si>
  <si>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</si>
  <si>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</si>
  <si>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</si>
  <si>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</si>
  <si>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</si>
  <si>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</si>
  <si>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</si>
  <si>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</si>
  <si>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</si>
  <si>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</si>
  <si>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</si>
  <si>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</si>
  <si>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</si>
  <si>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</si>
  <si>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</si>
  <si>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</si>
  <si>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</si>
  <si>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</si>
  <si>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</si>
  <si>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</si>
  <si>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</si>
  <si>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</si>
  <si>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</si>
  <si>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</si>
  <si>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</si>
  <si>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</si>
  <si>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</si>
  <si>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</si>
  <si>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</si>
  <si>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</si>
  <si>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</si>
  <si>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</si>
  <si>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</si>
  <si>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</si>
  <si>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</si>
  <si>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</si>
  <si>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</si>
  <si>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</si>
  <si>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</si>
  <si>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</si>
  <si>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</si>
  <si>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</si>
  <si>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</si>
  <si>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</si>
  <si>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</si>
  <si>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</si>
  <si>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</si>
  <si>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</si>
  <si>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</si>
  <si>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</si>
  <si>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</si>
  <si>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</si>
  <si>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</si>
  <si>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</si>
  <si>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</si>
  <si>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</si>
  <si>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</si>
  <si>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</si>
  <si>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</si>
  <si>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</si>
  <si>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</si>
  <si>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</si>
  <si>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</si>
  <si>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</si>
  <si>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</si>
  <si>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</si>
  <si>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</si>
  <si>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</si>
  <si>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</si>
  <si>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</si>
  <si>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</si>
  <si>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</si>
  <si>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</si>
  <si>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</si>
  <si>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</si>
  <si>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</si>
  <si>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</si>
  <si>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</si>
  <si>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</si>
  <si>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</si>
  <si>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</si>
  <si>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</si>
  <si>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</si>
  <si>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</si>
  <si>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</si>
  <si>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</si>
  <si>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</si>
  <si>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</si>
  <si>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</si>
  <si>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</si>
  <si>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</si>
  <si>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</si>
  <si>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</si>
  <si>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</si>
  <si>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</si>
  <si>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</si>
  <si>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</si>
  <si>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</si>
  <si>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</si>
  <si>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</si>
  <si>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</si>
  <si>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</si>
  <si>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</si>
  <si>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</si>
  <si>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</si>
  <si>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</si>
  <si>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</si>
  <si>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</si>
  <si>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</si>
  <si>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</si>
  <si>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</si>
  <si>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</si>
  <si>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</si>
  <si>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</si>
  <si>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</si>
  <si>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</si>
  <si>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</si>
  <si>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</si>
  <si>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</si>
  <si>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</si>
  <si>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</si>
  <si>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</si>
  <si>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</si>
  <si>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</si>
  <si>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</si>
  <si>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</si>
  <si>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</si>
  <si>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</si>
  <si>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</si>
  <si>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</si>
  <si>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</si>
  <si>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</si>
  <si>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</si>
  <si>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</si>
  <si>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</si>
  <si>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</si>
  <si>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</si>
  <si>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</si>
  <si>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</si>
  <si>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</si>
  <si>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</si>
  <si>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</si>
  <si>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</si>
  <si>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</si>
  <si>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</si>
  <si>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</si>
  <si>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</si>
  <si>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</si>
  <si>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</si>
  <si>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</si>
  <si>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</si>
  <si>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</si>
  <si>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</si>
  <si>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</si>
  <si>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</si>
  <si>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</si>
  <si>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</si>
  <si>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</si>
  <si>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</si>
  <si>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</si>
  <si>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</si>
  <si>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</si>
  <si>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</si>
  <si>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</si>
  <si>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</si>
  <si>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</si>
  <si>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</si>
  <si>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</si>
  <si>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</si>
  <si>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</si>
  <si>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</si>
  <si>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</si>
  <si>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</si>
  <si>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</si>
  <si>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</si>
  <si>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</si>
  <si>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</si>
  <si>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</si>
  <si>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</si>
  <si>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</si>
  <si>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</si>
  <si>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</si>
  <si>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</si>
  <si>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</si>
  <si>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</si>
  <si>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</si>
  <si>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</si>
  <si>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</si>
  <si>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</si>
  <si>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</si>
  <si>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</si>
  <si>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</si>
  <si>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</si>
  <si>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</si>
  <si>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</si>
  <si>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</si>
  <si>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</si>
  <si>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</si>
  <si>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</si>
  <si>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</si>
  <si>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</si>
  <si>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</si>
  <si>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</si>
  <si>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</si>
  <si>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</si>
  <si>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</si>
  <si>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</si>
  <si>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</si>
  <si>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</si>
  <si>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</si>
  <si>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</si>
  <si>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</si>
  <si>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</si>
  <si>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</si>
  <si>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</si>
  <si>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</si>
  <si>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</si>
  <si>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</si>
  <si>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</si>
  <si>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</si>
  <si>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</si>
  <si>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</si>
  <si>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</si>
  <si>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</si>
  <si>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</si>
  <si>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</si>
  <si>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</si>
  <si>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</si>
  <si>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</si>
  <si>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</si>
  <si>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</si>
  <si>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</si>
  <si>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</si>
  <si>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</si>
  <si>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</si>
  <si>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</si>
  <si>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</si>
  <si>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</si>
  <si>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</si>
  <si>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</si>
  <si>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</si>
  <si>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</si>
  <si>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</si>
  <si>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</si>
  <si>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</si>
  <si>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</si>
  <si>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</si>
  <si>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</si>
  <si>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</si>
  <si>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</si>
  <si>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</si>
  <si>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</si>
  <si>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</si>
  <si>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</si>
  <si>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</si>
  <si>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</si>
  <si>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</si>
  <si>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</si>
  <si>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</si>
  <si>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</si>
  <si>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</si>
  <si>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</si>
  <si>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</si>
  <si>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</si>
  <si>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</si>
  <si>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</si>
  <si>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</si>
  <si>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</si>
  <si>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</si>
  <si>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</si>
  <si>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</si>
  <si>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</si>
  <si>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</si>
  <si>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</si>
  <si>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</si>
  <si>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</si>
  <si>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</si>
  <si>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</si>
  <si>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</si>
  <si>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</si>
  <si>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</si>
  <si>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</si>
  <si>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</si>
  <si>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</si>
  <si>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</si>
  <si>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</si>
  <si>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</si>
  <si>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</si>
  <si>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</si>
  <si>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</si>
  <si>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</si>
  <si>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</si>
  <si>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</si>
  <si>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</si>
  <si>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</si>
  <si>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</si>
  <si>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</si>
  <si>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</si>
  <si>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</si>
  <si>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</si>
  <si>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</si>
  <si>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</si>
  <si>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</si>
  <si>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</si>
  <si>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</si>
  <si>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</si>
  <si>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</si>
  <si>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</si>
  <si>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</si>
  <si>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</si>
  <si>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</si>
  <si>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</si>
  <si>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</si>
  <si>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</si>
  <si>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</si>
  <si>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</si>
  <si>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</si>
  <si>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</si>
  <si>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</si>
  <si>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</si>
  <si>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</si>
  <si>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</si>
  <si>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</si>
  <si>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</si>
  <si>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</si>
  <si>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</si>
  <si>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</si>
  <si>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</si>
  <si>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</si>
  <si>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</si>
  <si>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</si>
  <si>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</si>
  <si>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</si>
  <si>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</si>
  <si>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</si>
  <si>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</si>
  <si>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</si>
  <si>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</si>
  <si>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</si>
  <si>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</si>
  <si>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</si>
  <si>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</si>
  <si>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</si>
  <si>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</si>
  <si>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</si>
  <si>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</si>
  <si>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</si>
  <si>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</si>
  <si>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</si>
  <si>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</si>
  <si>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</si>
  <si>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</si>
  <si>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</si>
  <si>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</si>
  <si>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</si>
  <si>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</si>
  <si>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</si>
  <si>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</si>
  <si>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</si>
  <si>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</si>
  <si>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</si>
  <si>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</si>
  <si>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</si>
  <si>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</si>
  <si>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</si>
  <si>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</si>
  <si>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</si>
  <si>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</si>
  <si>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</si>
  <si>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</si>
  <si>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</si>
  <si>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</si>
  <si>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</si>
  <si>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</si>
  <si>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</si>
  <si>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</si>
  <si>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</si>
  <si>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</si>
  <si>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</si>
  <si>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</si>
  <si>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</si>
  <si>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</si>
  <si>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</si>
  <si>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</si>
  <si>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</si>
  <si>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</si>
  <si>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</si>
  <si>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</si>
  <si>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</si>
  <si>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</si>
  <si>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</si>
  <si>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</si>
  <si>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</si>
  <si>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</si>
  <si>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</si>
  <si>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</si>
  <si>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</si>
  <si>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</si>
  <si>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</si>
  <si>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</si>
  <si>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</si>
  <si>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</si>
  <si>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</si>
  <si>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</si>
  <si>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</si>
  <si>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</si>
  <si>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</si>
  <si>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</si>
  <si>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</si>
  <si>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</si>
  <si>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</si>
  <si>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</si>
  <si>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</si>
  <si>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</si>
  <si>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</si>
  <si>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</si>
  <si>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</si>
  <si>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</si>
  <si>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</si>
  <si>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</si>
  <si>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</si>
  <si>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</si>
  <si>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</si>
  <si>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</si>
  <si>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</si>
  <si>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</si>
  <si>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</si>
  <si>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</si>
  <si>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</si>
  <si>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</si>
  <si>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</si>
  <si>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</si>
  <si>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</si>
  <si>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</si>
  <si>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</si>
  <si>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</si>
  <si>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</si>
  <si>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</si>
  <si>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</si>
  <si>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</si>
  <si>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</si>
  <si>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</si>
  <si>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</si>
  <si>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</si>
  <si>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</si>
  <si>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</si>
  <si>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</si>
  <si>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</si>
  <si>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</si>
  <si>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</si>
  <si>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</si>
  <si>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</si>
  <si>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</si>
  <si>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</si>
  <si>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</si>
  <si>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</si>
  <si>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</si>
  <si>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</si>
  <si>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</si>
  <si>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</si>
  <si>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</si>
  <si>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</si>
  <si>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</si>
  <si>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</si>
  <si>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</si>
  <si>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</si>
  <si>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</si>
  <si>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</si>
  <si>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</si>
  <si>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</si>
  <si>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</si>
  <si>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</si>
  <si>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</si>
  <si>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</si>
  <si>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</si>
  <si>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</si>
  <si>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</si>
  <si>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</si>
  <si>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</si>
  <si>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</si>
  <si>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</si>
  <si>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</si>
  <si>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</si>
  <si>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</si>
  <si>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</si>
  <si>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</si>
  <si>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</si>
  <si>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</si>
  <si>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</si>
  <si>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</si>
  <si>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</si>
  <si>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</si>
  <si>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</si>
  <si>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</si>
  <si>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</si>
  <si>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</si>
  <si>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</si>
  <si>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</si>
  <si>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</si>
  <si>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</si>
  <si>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</si>
  <si>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</si>
  <si>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</si>
  <si>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</si>
  <si>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</si>
  <si>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</si>
  <si>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</si>
  <si>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</si>
  <si>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</si>
  <si>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</si>
  <si>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</si>
  <si>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</si>
  <si>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</si>
  <si>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</si>
  <si>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</si>
  <si>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</si>
  <si>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</si>
  <si>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</si>
  <si>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</si>
  <si>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</si>
  <si>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</si>
  <si>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</si>
  <si>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</si>
  <si>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</si>
  <si>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</si>
  <si>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</si>
  <si>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</si>
  <si>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</si>
  <si>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</si>
  <si>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</si>
  <si>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</si>
  <si>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</si>
  <si>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</si>
  <si>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</si>
  <si>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</si>
  <si>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</si>
  <si>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</si>
  <si>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</si>
  <si>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</si>
  <si>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</si>
  <si>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</si>
  <si>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</si>
  <si>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</si>
  <si>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</si>
  <si>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</si>
  <si>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</si>
  <si>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</si>
  <si>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</si>
  <si>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</si>
  <si>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</si>
  <si>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</si>
  <si>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</si>
  <si>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</si>
  <si>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</si>
  <si>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</si>
  <si>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</si>
  <si>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</si>
  <si>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</si>
  <si>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</si>
  <si>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</si>
  <si>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</si>
  <si>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</si>
  <si>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</si>
  <si>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</si>
  <si>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</si>
  <si>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</si>
  <si>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</si>
  <si>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</si>
  <si>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</si>
  <si>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</si>
  <si>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</si>
  <si>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</si>
  <si>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</si>
  <si>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</si>
  <si>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</si>
  <si>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</si>
  <si>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</si>
  <si>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</si>
  <si>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</si>
  <si>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</si>
  <si>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</si>
  <si>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</si>
  <si>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</si>
  <si>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</si>
  <si>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</si>
  <si>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</si>
  <si>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</si>
  <si>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</si>
  <si>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</si>
  <si>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</si>
  <si>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</si>
  <si>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</si>
  <si>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</si>
  <si>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</si>
  <si>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</si>
  <si>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</si>
  <si>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</si>
  <si>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</si>
  <si>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</si>
  <si>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</si>
  <si>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</si>
  <si>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</si>
  <si>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</si>
  <si>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</si>
  <si>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</si>
  <si>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</si>
  <si>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</si>
  <si>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</si>
  <si>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</si>
  <si>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</si>
  <si>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</si>
  <si>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</si>
  <si>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</si>
  <si>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</si>
  <si>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</si>
  <si>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</si>
  <si>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</si>
  <si>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</si>
  <si>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</si>
  <si>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</si>
  <si>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</si>
  <si>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</si>
  <si>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</si>
  <si>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</si>
  <si>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</si>
  <si>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</si>
  <si>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</si>
  <si>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</si>
  <si>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</si>
  <si>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</si>
  <si>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</si>
  <si>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</si>
  <si>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</si>
  <si>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</si>
  <si>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</si>
  <si>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</si>
  <si>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</si>
  <si>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</si>
  <si>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</si>
  <si>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</si>
  <si>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</si>
  <si>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</si>
  <si>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</si>
  <si>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</si>
  <si>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</si>
  <si>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</si>
  <si>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</si>
  <si>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</si>
  <si>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</si>
  <si>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</si>
  <si>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</si>
  <si>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</si>
  <si>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</si>
  <si>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</si>
  <si>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</si>
  <si>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</si>
  <si>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</si>
  <si>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</si>
  <si>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</si>
  <si>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</si>
  <si>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</si>
  <si>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</si>
  <si>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</si>
  <si>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</si>
  <si>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</si>
  <si>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</si>
  <si>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</si>
  <si>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</si>
  <si>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</si>
  <si>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</si>
  <si>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</si>
  <si>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</si>
  <si>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</si>
  <si>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</si>
  <si>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</si>
  <si>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</si>
  <si>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</si>
  <si>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</si>
  <si>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</si>
  <si>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</si>
  <si>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</si>
  <si>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</si>
  <si>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</si>
  <si>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</si>
  <si>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</si>
  <si>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</si>
  <si>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</si>
  <si>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</si>
  <si>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</si>
  <si>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</si>
  <si>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</si>
  <si>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</si>
  <si>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</si>
  <si>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</si>
  <si>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</si>
  <si>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</si>
  <si>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</si>
  <si>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</si>
  <si>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</si>
  <si>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</si>
  <si>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</si>
  <si>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</si>
  <si>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</si>
  <si>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</si>
  <si>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</si>
  <si>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</si>
  <si>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</si>
  <si>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</si>
  <si>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</si>
  <si>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</si>
  <si>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</si>
  <si>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</si>
  <si>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</si>
  <si>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</si>
  <si>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</si>
  <si>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</si>
  <si>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</si>
  <si>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</si>
  <si>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</si>
  <si>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</si>
  <si>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</si>
  <si>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</si>
  <si>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</si>
  <si>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</si>
  <si>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</si>
  <si>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</si>
  <si>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</si>
  <si>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</si>
  <si>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</si>
  <si>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</si>
  <si>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</si>
  <si>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</si>
  <si>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</si>
  <si>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</si>
  <si>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</si>
  <si>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</si>
  <si>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</si>
  <si>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</si>
  <si>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</si>
  <si>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</si>
  <si>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</si>
  <si>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</si>
  <si>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</si>
  <si>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</si>
  <si>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</si>
  <si>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</si>
  <si>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</si>
  <si>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</si>
  <si>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</si>
  <si>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</si>
  <si>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</si>
  <si>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</si>
  <si>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</si>
  <si>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</si>
  <si>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</si>
  <si>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</si>
  <si>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</si>
  <si>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</si>
  <si>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</si>
  <si>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</si>
  <si>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</si>
  <si>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</si>
  <si>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</si>
  <si>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</si>
  <si>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</si>
  <si>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</si>
  <si>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</si>
  <si>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</si>
  <si>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</si>
  <si>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</si>
  <si>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</si>
  <si>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</si>
  <si>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</si>
  <si>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</si>
  <si>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</si>
  <si>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</si>
  <si>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</si>
  <si>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</si>
  <si>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</si>
  <si>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</si>
  <si>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</si>
  <si>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</si>
  <si>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</si>
  <si>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</si>
  <si>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</si>
  <si>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</si>
  <si>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</si>
  <si>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</si>
  <si>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</si>
  <si>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</si>
  <si>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</si>
  <si>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</si>
  <si>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</si>
  <si>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</si>
  <si>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</si>
  <si>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</si>
  <si>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</si>
  <si>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</si>
  <si>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</si>
  <si>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</si>
  <si>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</si>
  <si>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</si>
  <si>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</si>
  <si>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</si>
  <si>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</si>
  <si>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</si>
  <si>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</si>
  <si>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</si>
  <si>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</si>
  <si>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</si>
  <si>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</si>
  <si>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</si>
  <si>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</si>
  <si>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</si>
  <si>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</si>
  <si>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</si>
  <si>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</si>
  <si>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</si>
  <si>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</si>
  <si>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</si>
  <si>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</si>
  <si>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</si>
  <si>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</si>
  <si>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</si>
  <si>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</si>
  <si>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</si>
  <si>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</si>
  <si>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</si>
  <si>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</si>
  <si>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</si>
  <si>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</si>
  <si>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</si>
  <si>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</si>
  <si>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</si>
  <si>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</si>
  <si>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</si>
  <si>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</si>
  <si>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</si>
  <si>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</si>
  <si>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</si>
  <si>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</si>
  <si>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</si>
  <si>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</si>
  <si>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</si>
  <si>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</si>
  <si>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</si>
  <si>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</si>
  <si>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</si>
  <si>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</si>
  <si>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</si>
  <si>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</si>
  <si>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</si>
  <si>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</si>
  <si>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</si>
  <si>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</si>
  <si>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</si>
  <si>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</si>
  <si>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</si>
  <si>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</si>
  <si>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</si>
  <si>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</si>
  <si>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</si>
  <si>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</si>
  <si>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</si>
  <si>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</si>
  <si>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</si>
  <si>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</si>
  <si>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</si>
  <si>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</si>
  <si>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</si>
  <si>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</si>
  <si>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</si>
  <si>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</si>
  <si>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</si>
  <si>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</si>
  <si>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</si>
  <si>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</si>
  <si>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</si>
  <si>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</si>
  <si>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</si>
  <si>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</si>
  <si>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</si>
  <si>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</si>
  <si>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</si>
  <si>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</si>
  <si>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</si>
  <si>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</si>
  <si>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</si>
  <si>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</si>
  <si>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</si>
  <si>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</si>
  <si>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</si>
  <si>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</si>
  <si>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</si>
  <si>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</si>
  <si>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</si>
  <si>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</si>
  <si>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</si>
  <si>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</si>
  <si>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</si>
  <si>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</si>
  <si>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</si>
  <si>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</si>
  <si>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</si>
  <si>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</si>
  <si>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</si>
  <si>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</si>
  <si>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</si>
  <si>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</si>
  <si>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</si>
  <si>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</si>
  <si>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</si>
  <si>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</si>
  <si>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</si>
  <si>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</si>
  <si>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</si>
  <si>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</si>
  <si>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</si>
  <si>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</si>
  <si>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</si>
  <si>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</si>
  <si>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</si>
  <si>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</si>
  <si>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</si>
  <si>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</si>
  <si>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</si>
  <si>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</si>
  <si>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</si>
  <si>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</si>
  <si>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</si>
  <si>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</si>
  <si>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</si>
  <si>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</si>
  <si>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</si>
  <si>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</si>
  <si>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</si>
  <si>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</si>
  <si>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</si>
  <si>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</si>
  <si>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</si>
  <si>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</si>
  <si>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</si>
  <si>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</si>
  <si>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</si>
  <si>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</si>
  <si>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</si>
  <si>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</si>
  <si>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</si>
  <si>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</si>
  <si>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</si>
  <si>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</si>
  <si>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</si>
  <si>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</si>
  <si>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</si>
  <si>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</si>
  <si>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</si>
  <si>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</si>
  <si>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</si>
  <si>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</si>
  <si>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</si>
  <si>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</si>
  <si>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</si>
  <si>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</si>
  <si>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</si>
  <si>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</si>
  <si>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</si>
  <si>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</si>
  <si>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</si>
  <si>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</si>
  <si>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</si>
  <si>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</si>
  <si>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</si>
  <si>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</si>
  <si>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</si>
  <si>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</si>
  <si>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</si>
  <si>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</si>
  <si>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</si>
  <si>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</si>
  <si>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</si>
  <si>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</si>
  <si>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</si>
  <si>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</si>
  <si>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</si>
  <si>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</si>
  <si>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</si>
  <si>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</si>
  <si>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</si>
  <si>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</si>
  <si>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</si>
  <si>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</si>
  <si>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</si>
  <si>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</si>
  <si>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</si>
  <si>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</si>
  <si>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</si>
  <si>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</si>
  <si>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</si>
  <si>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</si>
  <si>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</si>
  <si>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</si>
  <si>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</si>
  <si>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</si>
  <si>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</si>
  <si>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</si>
  <si>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</si>
  <si>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</si>
  <si>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</si>
  <si>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</si>
  <si>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</si>
  <si>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</si>
  <si>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</si>
  <si>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</si>
  <si>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</si>
  <si>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</si>
  <si>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</si>
  <si>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</si>
  <si>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</si>
  <si>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</si>
  <si>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</si>
  <si>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</si>
  <si>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</si>
  <si>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</si>
  <si>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</si>
  <si>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</si>
  <si>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</si>
  <si>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</si>
  <si>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</si>
  <si>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</si>
  <si>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</si>
  <si>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</si>
  <si>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</si>
  <si>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</si>
  <si>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</si>
  <si>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</si>
  <si>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</si>
  <si>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</si>
  <si>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</si>
  <si>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</si>
  <si>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</si>
  <si>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</si>
  <si>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</si>
  <si>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</si>
  <si>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</si>
  <si>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</si>
  <si>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</si>
  <si>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</si>
  <si>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</si>
  <si>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</si>
  <si>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</si>
  <si>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</si>
  <si>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</si>
  <si>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</si>
  <si>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</si>
  <si>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</si>
  <si>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</si>
  <si>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</si>
  <si>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</si>
  <si>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</si>
  <si>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</si>
  <si>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</si>
  <si>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</si>
  <si>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</si>
  <si>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</si>
  <si>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</si>
  <si>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</si>
  <si>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</si>
  <si>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</si>
  <si>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</si>
  <si>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</si>
  <si>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</si>
  <si>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</si>
  <si>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</si>
  <si>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</si>
  <si>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</si>
  <si>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</si>
  <si>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</si>
  <si>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</si>
  <si>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</si>
  <si>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</si>
  <si>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</si>
  <si>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</si>
  <si>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</si>
  <si>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</si>
  <si>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</si>
  <si>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</si>
  <si>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</si>
  <si>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</si>
  <si>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</si>
  <si>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</si>
  <si>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</si>
  <si>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</si>
  <si>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</si>
  <si>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</si>
  <si>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</si>
  <si>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</si>
  <si>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</si>
  <si>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</si>
  <si>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</si>
  <si>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</si>
  <si>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</si>
  <si>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</si>
  <si>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</si>
  <si>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</si>
  <si>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</si>
  <si>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</si>
  <si>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</si>
  <si>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</si>
  <si>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</si>
  <si>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</si>
  <si>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</si>
  <si>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</si>
  <si>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</si>
  <si>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</si>
  <si>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</si>
  <si>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</si>
  <si>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</si>
  <si>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</si>
  <si>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</si>
  <si>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</si>
  <si>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</si>
  <si>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</si>
  <si>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</si>
  <si>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</si>
  <si>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</si>
  <si>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</si>
  <si>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</si>
  <si>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</si>
  <si>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</si>
  <si>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</si>
  <si>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</si>
  <si>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</si>
  <si>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</si>
  <si>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</si>
  <si>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</si>
  <si>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</si>
  <si>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</si>
  <si>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</si>
  <si>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</si>
  <si>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</si>
  <si>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</si>
  <si>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</si>
  <si>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</si>
  <si>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</si>
  <si>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</si>
  <si>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</si>
  <si>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</si>
  <si>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</si>
  <si>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</si>
  <si>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</si>
  <si>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</si>
  <si>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</si>
  <si>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</si>
  <si>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</si>
  <si>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</si>
  <si>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</si>
  <si>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</si>
  <si>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</si>
  <si>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</si>
  <si>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</si>
  <si>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</si>
  <si>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</si>
  <si>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</si>
  <si>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</si>
  <si>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</si>
  <si>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</si>
  <si>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</si>
  <si>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</si>
  <si>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</si>
  <si>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</si>
  <si>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</si>
  <si>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</si>
  <si>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</si>
  <si>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</si>
  <si>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</si>
  <si>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</si>
  <si>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</si>
  <si>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</si>
  <si>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</si>
  <si>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</si>
  <si>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</si>
  <si>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</si>
  <si>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</si>
  <si>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</si>
  <si>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</si>
  <si>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</si>
  <si>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</si>
  <si>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</si>
  <si>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</si>
  <si>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</si>
  <si>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</si>
  <si>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</si>
  <si>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</si>
  <si>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</si>
  <si>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</si>
  <si>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</si>
  <si>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</si>
  <si>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</si>
  <si>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</si>
  <si>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</si>
  <si>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</si>
  <si>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</si>
  <si>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</si>
  <si>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</si>
  <si>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</si>
  <si>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</si>
  <si>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</si>
  <si>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</si>
  <si>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</si>
  <si>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</si>
  <si>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</si>
  <si>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</si>
  <si>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</si>
  <si>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Arnaud Corbarieu</t>
  </si>
  <si>
    <t xml:space="preserve">conforme AFNOR T90-395 oct. 2003</t>
  </si>
  <si>
    <t xml:space="preserve">Rebenty</t>
  </si>
  <si>
    <t xml:space="preserve">Cailla</t>
  </si>
  <si>
    <t xml:space="preserve">06175645</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</si>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</sst>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13.8666666666667</v>
      </c>
      <c r="M5" s="323"/>
      <c r="N5" s="324" t="s">
        <v>154</v>
      </c>
      <c r="O5" s="325" t="n">
        <v>13.4545454545455</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10.2222222222222</v>
      </c>
      <c r="O8" s="354" t="n">
        <f aca="false">IF(ISERROR(AVERAGE(J23:J82)),"      -",AVERAGE(J23:J82))</f>
        <v>1.44444444444444</v>
      </c>
      <c r="P8" s="355"/>
      <c r="Q8" s="280"/>
      <c r="R8" s="280"/>
      <c r="S8" s="280"/>
      <c r="T8" s="280"/>
      <c r="U8" s="280"/>
      <c r="V8" s="280"/>
      <c r="W8" s="292"/>
      <c r="X8" s="293"/>
    </row>
    <row r="9" customFormat="false" ht="13.5" hidden="false" customHeight="false" outlineLevel="0" collapsed="false">
      <c r="A9" s="313" t="s">
        <v>2634</v>
      </c>
      <c r="B9" s="356" t="n">
        <v>1.13</v>
      </c>
      <c r="C9" s="357"/>
      <c r="D9" s="358"/>
      <c r="E9" s="358"/>
      <c r="F9" s="359" t="n">
        <f aca="false">($B9*$B$7+$C9*$C$7)/100</f>
        <v>1.13</v>
      </c>
      <c r="G9" s="360"/>
      <c r="H9" s="361"/>
      <c r="I9" s="362"/>
      <c r="J9" s="363"/>
      <c r="K9" s="343"/>
      <c r="L9" s="364"/>
      <c r="M9" s="353" t="s">
        <v>2635</v>
      </c>
      <c r="N9" s="354" t="n">
        <f aca="false">IF(ISERROR(STDEVP(I23:I82)),"     -",STDEVP(I23:I82))</f>
        <v>5.80761526460977</v>
      </c>
      <c r="O9" s="354" t="n">
        <f aca="false">IF(ISERROR(STDEVP(J23:J82)),"      -",STDEVP(J23:J82))</f>
        <v>0.955813918560292</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3</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5</v>
      </c>
      <c r="L13" s="386"/>
      <c r="M13" s="397" t="s">
        <v>2647</v>
      </c>
      <c r="N13" s="398" t="n">
        <f aca="false">COUNTIF(F23:F82,"&gt;0")</f>
        <v>9</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1</v>
      </c>
      <c r="L14" s="386"/>
      <c r="M14" s="401" t="s">
        <v>2650</v>
      </c>
      <c r="N14" s="402" t="n">
        <f aca="false">COUNTIF($I$23:$I$82,"&gt;-1")</f>
        <v>9</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2</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4</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1</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1.13</v>
      </c>
      <c r="C20" s="436" t="n">
        <f aca="false">SUM(C23:C82)</f>
        <v>0</v>
      </c>
      <c r="D20" s="437"/>
      <c r="E20" s="438" t="s">
        <v>2659</v>
      </c>
      <c r="F20" s="439" t="n">
        <f aca="false">($B20*$B$7+$C20*$C$7)/100</f>
        <v>1.13</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1.13</v>
      </c>
      <c r="C21" s="449" t="n">
        <f aca="false">C20*C7/100</f>
        <v>0</v>
      </c>
      <c r="D21" s="381" t="str">
        <f aca="false">IF(F21=0,"",IF((ABS(F21-F19))&gt;(0.2*F21),CONCATENATE(" rec. par taxa (",F21," %) supérieur à 20 % !"),""))</f>
        <v> rec. par taxa (1,13 %) supérieur à 20 % !</v>
      </c>
      <c r="E21" s="450" t="str">
        <f aca="false">IF(F21=0,"",IF((ABS(F21-F19))&gt;(0.2*F21),CONCATENATE("ATTENTION : écart entre rec. par grp (",F19," %) ","et",""),""))</f>
        <v>ATTENTION : écart entre rec. par grp (0 %) et</v>
      </c>
      <c r="F21" s="451" t="n">
        <f aca="false">B21+C21</f>
        <v>1.13</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151</v>
      </c>
      <c r="B23" s="475" t="n">
        <v>0.005</v>
      </c>
      <c r="C23" s="476"/>
      <c r="D23" s="477" t="str">
        <f aca="false">IF(ISERROR(VLOOKUP($A23,'liste reference'!$A$7:$D$904,2,0)),IF(ISERROR(VLOOKUP($A23,'liste reference'!$B$7:$D$904,1,0)),"",VLOOKUP($A23,'liste reference'!$B$7:$D$904,1,0)),VLOOKUP($A23,'liste reference'!$A$7:$D$904,2,0))</f>
        <v>Hydrurus sp.</v>
      </c>
      <c r="E23" s="477" t="e">
        <f aca="false">IF(D23="",0,VLOOKUP(D23,D$22:D22,1,0))</f>
        <v>#N/A</v>
      </c>
      <c r="F23" s="478" t="n">
        <f aca="false">($B23*$B$7+$C23*$C$7)/100</f>
        <v>0.005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Hydrurus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6183</v>
      </c>
      <c r="Q23" s="486" t="n">
        <f aca="false">IF(ISTEXT(H23),"",(B23*$B$7/100)+(C23*$C$7/100))</f>
        <v>0.005</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HYUSPX</v>
      </c>
      <c r="Z23" s="280" t="n">
        <f aca="false">IF(ISERROR(MATCH(A23,'liste reference'!$A$8:$A$904,0)),IF(ISERROR(MATCH(A23,'liste reference'!$B$8:$B$904,0)),"",(MATCH(A23,'liste reference'!$B$8:$B$904,0))),(MATCH(A23,'liste reference'!$A$8:$A$904,0)))</f>
        <v>33</v>
      </c>
      <c r="AA23" s="491"/>
      <c r="AB23" s="492"/>
      <c r="AC23" s="492"/>
      <c r="BB23" s="280" t="n">
        <f aca="false">IF(A23="","",1)</f>
        <v>1</v>
      </c>
    </row>
    <row r="24" customFormat="false" ht="12.75" hidden="false" customHeight="false" outlineLevel="0" collapsed="false">
      <c r="A24" s="493" t="s">
        <v>154</v>
      </c>
      <c r="B24" s="494" t="n">
        <v>0.8</v>
      </c>
      <c r="C24" s="495"/>
      <c r="D24" s="477" t="str">
        <f aca="false">IF(ISERROR(VLOOKUP($A24,'liste reference'!$A$7:$D$904,2,0)),IF(ISERROR(VLOOKUP($A24,'liste reference'!$B$7:$D$904,1,0)),"",VLOOKUP($A24,'liste reference'!$B$7:$D$904,1,0)),VLOOKUP($A24,'liste reference'!$A$7:$D$904,2,0))</f>
        <v>Lemanea sp.</v>
      </c>
      <c r="E24" s="496" t="e">
        <f aca="false">IF(D24="",0,VLOOKUP(D24,D$22:D23,1,0))</f>
        <v>#N/A</v>
      </c>
      <c r="F24" s="497" t="n">
        <f aca="false">($B24*$B$7+$C24*$C$7)/100</f>
        <v>0.8</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Lemanea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1159</v>
      </c>
      <c r="Q24" s="486" t="n">
        <f aca="false">IF(ISTEXT(H24),"",(B24*$B$7/100)+(C24*$C$7/100))</f>
        <v>0.8</v>
      </c>
      <c r="R24" s="487" t="n">
        <f aca="false">IF(OR(ISTEXT(H24),Q24=0),"",IF(Q24&lt;0.1,1,IF(Q24&lt;1,2,IF(Q24&lt;10,3,IF(Q24&lt;50,4,IF(Q24&gt;=50,5,""))))))</f>
        <v>2</v>
      </c>
      <c r="S24" s="487" t="n">
        <f aca="false">IF(ISERROR(R24*I24),0,R24*I24)</f>
        <v>30</v>
      </c>
      <c r="T24" s="487" t="n">
        <f aca="false">IF(ISERROR(R24*I24*J24),0,R24*I24*J24)</f>
        <v>60</v>
      </c>
      <c r="U24" s="499" t="n">
        <f aca="false">IF(ISERROR(R24*J24),0,R24*J24)</f>
        <v>4</v>
      </c>
      <c r="V24" s="488" t="str">
        <f aca="false">IF(AND(A24="",F24=0),"",IF(F24=0,"Il manque le(s) % de rec. !",""))</f>
        <v/>
      </c>
      <c r="W24" s="489"/>
      <c r="X24" s="489"/>
      <c r="Y24" s="490" t="str">
        <f aca="false">IF(A24="new.cod","NEWCOD",IF(AND((Z24=""),ISTEXT(A24)),A24,IF(Z24="","",INDEX('liste reference'!$A$8:$A$904,Z24))))</f>
        <v>LEASPX</v>
      </c>
      <c r="Z24" s="280" t="n">
        <f aca="false">IF(ISERROR(MATCH(A24,'liste reference'!$A$8:$A$904,0)),IF(ISERROR(MATCH(A24,'liste reference'!$B$8:$B$904,0)),"",(MATCH(A24,'liste reference'!$B$8:$B$904,0))),(MATCH(A24,'liste reference'!$A$8:$A$904,0)))</f>
        <v>34</v>
      </c>
      <c r="AA24" s="491"/>
      <c r="AB24" s="492"/>
      <c r="AC24" s="492"/>
      <c r="BB24" s="280" t="n">
        <f aca="false">IF(A24="","",1)</f>
        <v>1</v>
      </c>
    </row>
    <row r="25" customFormat="false" ht="12.75" hidden="false" customHeight="false" outlineLevel="0" collapsed="false">
      <c r="A25" s="493" t="s">
        <v>220</v>
      </c>
      <c r="B25" s="494" t="n">
        <v>0.03</v>
      </c>
      <c r="C25" s="495"/>
      <c r="D25" s="477" t="str">
        <f aca="false">IF(ISERROR(VLOOKUP($A25,'liste reference'!$A$7:$D$904,2,0)),IF(ISERROR(VLOOKUP($A25,'liste reference'!$B$7:$D$904,1,0)),"",VLOOKUP($A25,'liste reference'!$B$7:$D$904,1,0)),VLOOKUP($A25,'liste reference'!$A$7:$D$904,2,0))</f>
        <v>Nostoc sp.</v>
      </c>
      <c r="E25" s="496" t="e">
        <f aca="false">IF(D25="",0,VLOOKUP(D25,D$22:D24,1,0))</f>
        <v>#N/A</v>
      </c>
      <c r="F25" s="497" t="n">
        <f aca="false">($B25*$B$7+$C25*$C$7)/100</f>
        <v>0.03</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9</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Nostoc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1105</v>
      </c>
      <c r="Q25" s="486" t="n">
        <f aca="false">IF(ISTEXT(H25),"",(B25*$B$7/100)+(C25*$C$7/100))</f>
        <v>0.03</v>
      </c>
      <c r="R25" s="487" t="n">
        <f aca="false">IF(OR(ISTEXT(H25),Q25=0),"",IF(Q25&lt;0.1,1,IF(Q25&lt;1,2,IF(Q25&lt;10,3,IF(Q25&lt;50,4,IF(Q25&gt;=50,5,""))))))</f>
        <v>1</v>
      </c>
      <c r="S25" s="487" t="n">
        <f aca="false">IF(ISERROR(R25*I25),0,R25*I25)</f>
        <v>9</v>
      </c>
      <c r="T25" s="487" t="n">
        <f aca="false">IF(ISERROR(R25*I25*J25),0,R25*I25*J25)</f>
        <v>9</v>
      </c>
      <c r="U25" s="499" t="n">
        <f aca="false">IF(ISERROR(R25*J25),0,R25*J25)</f>
        <v>1</v>
      </c>
      <c r="V25" s="488" t="str">
        <f aca="false">IF(AND(A25="",F25=0),"",IF(F25=0,"Il manque le(s) % de rec. !",""))</f>
        <v/>
      </c>
      <c r="W25" s="489"/>
      <c r="Y25" s="490" t="str">
        <f aca="false">IF(A25="new.cod","NEWCOD",IF(AND((Z25=""),ISTEXT(A25)),A25,IF(Z25="","",INDEX('liste reference'!$A$8:$A$904,Z25))))</f>
        <v>NOSSPX</v>
      </c>
      <c r="Z25" s="280" t="n">
        <f aca="false">IF(ISERROR(MATCH(A25,'liste reference'!$A$8:$A$904,0)),IF(ISERROR(MATCH(A25,'liste reference'!$B$8:$B$904,0)),"",(MATCH(A25,'liste reference'!$B$8:$B$904,0))),(MATCH(A25,'liste reference'!$A$8:$A$904,0)))</f>
        <v>54</v>
      </c>
      <c r="AA25" s="491"/>
      <c r="AB25" s="492"/>
      <c r="AC25" s="492"/>
      <c r="BB25" s="280" t="n">
        <f aca="false">IF(A25="","",1)</f>
        <v>1</v>
      </c>
    </row>
    <row r="26" customFormat="false" ht="12.75" hidden="false" customHeight="false" outlineLevel="0" collapsed="false">
      <c r="A26" s="493" t="s">
        <v>512</v>
      </c>
      <c r="B26" s="494" t="n">
        <v>0.1</v>
      </c>
      <c r="C26" s="495"/>
      <c r="D26" s="477" t="str">
        <f aca="false">IF(ISERROR(VLOOKUP($A26,'liste reference'!$A$7:$D$904,2,0)),IF(ISERROR(VLOOKUP($A26,'liste reference'!$B$7:$D$904,1,0)),"",VLOOKUP($A26,'liste reference'!$B$7:$D$904,1,0)),VLOOKUP($A26,'liste reference'!$A$7:$D$904,2,0))</f>
        <v>Pellia endiviifolia</v>
      </c>
      <c r="E26" s="496" t="e">
        <f aca="false">IF(D26="",0,VLOOKUP(D26,D$22:D25,1,0))</f>
        <v>#N/A</v>
      </c>
      <c r="F26" s="497" t="n">
        <f aca="false">($B26*$B$7+$C26*$C$7)/100</f>
        <v>0.1</v>
      </c>
      <c r="G26" s="479" t="str">
        <f aca="false">IF(A26="","",IF(ISERROR(VLOOKUP($A26,'liste reference'!$A$7:$P$904,13,0)),IF(ISERROR(VLOOKUP($A26,'liste reference'!$B$7:$P$904,12,0)),"    -",VLOOKUP($A26,'liste reference'!$B$7:$P$904,12,0)),VLOOKUP($A26,'liste reference'!$A$7:$P$904,13,0)))</f>
        <v>BRh</v>
      </c>
      <c r="H26" s="480" t="n">
        <f aca="false">IF(A26="","x",IF(ISERROR(VLOOKUP($A26,'liste reference'!$A$8:$P$904,14,0)),IF(ISERROR(VLOOKUP($A26,'liste reference'!$B$8:$P$904,13,0)),"x",VLOOKUP($A26,'liste reference'!$B$8:$P$904,13,0)),VLOOKUP($A26,'liste reference'!$A$8:$P$904,14,0)))</f>
        <v>4</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Pellia endiviifolia</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1197</v>
      </c>
      <c r="Q26" s="486" t="n">
        <f aca="false">IF(ISTEXT(H26),"",(B26*$B$7/100)+(C26*$C$7/100))</f>
        <v>0.1</v>
      </c>
      <c r="R26" s="487" t="n">
        <f aca="false">IF(OR(ISTEXT(H26),Q26=0),"",IF(Q26&lt;0.1,1,IF(Q26&lt;1,2,IF(Q26&lt;10,3,IF(Q26&lt;50,4,IF(Q26&gt;=50,5,""))))))</f>
        <v>2</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PELEND</v>
      </c>
      <c r="Z26" s="280" t="n">
        <f aca="false">IF(ISERROR(MATCH(A26,'liste reference'!$A$8:$A$904,0)),IF(ISERROR(MATCH(A26,'liste reference'!$B$8:$B$904,0)),"",(MATCH(A26,'liste reference'!$B$8:$B$904,0))),(MATCH(A26,'liste reference'!$A$8:$A$904,0)))</f>
        <v>120</v>
      </c>
      <c r="AA26" s="491"/>
      <c r="AB26" s="492"/>
      <c r="AC26" s="492"/>
      <c r="BB26" s="280" t="n">
        <f aca="false">IF(A26="","",1)</f>
        <v>1</v>
      </c>
    </row>
    <row r="27" customFormat="false" ht="12.75" hidden="false" customHeight="false" outlineLevel="0" collapsed="false">
      <c r="A27" s="493" t="s">
        <v>749</v>
      </c>
      <c r="B27" s="494" t="n">
        <v>0.06</v>
      </c>
      <c r="C27" s="495"/>
      <c r="D27" s="477" t="str">
        <f aca="false">IF(ISERROR(VLOOKUP($A27,'liste reference'!$A$7:$D$904,2,0)),IF(ISERROR(VLOOKUP($A27,'liste reference'!$B$7:$D$904,1,0)),"",VLOOKUP($A27,'liste reference'!$B$7:$D$904,1,0)),VLOOKUP($A27,'liste reference'!$A$7:$D$904,2,0))</f>
        <v>Cinclidotus riparius</v>
      </c>
      <c r="E27" s="496" t="e">
        <f aca="false">IF(D27="",0,VLOOKUP(D27,D$22:D26,1,0))</f>
        <v>#N/A</v>
      </c>
      <c r="F27" s="497" t="n">
        <f aca="false">($B27*$B$7+$C27*$C$7)/100</f>
        <v>0.06</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Cinclidotus riparius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1321</v>
      </c>
      <c r="Q27" s="486" t="n">
        <f aca="false">IF(ISTEXT(H27),"",(B27*$B$7/100)+(C27*$C$7/100))</f>
        <v>0.06</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CINRIP</v>
      </c>
      <c r="Z27" s="280" t="n">
        <f aca="false">IF(ISERROR(MATCH(A27,'liste reference'!$A$8:$A$904,0)),IF(ISERROR(MATCH(A27,'liste reference'!$B$8:$B$904,0)),"",(MATCH(A27,'liste reference'!$B$8:$B$904,0))),(MATCH(A27,'liste reference'!$A$8:$A$904,0)))</f>
        <v>174</v>
      </c>
      <c r="AA27" s="491"/>
      <c r="AB27" s="492"/>
      <c r="AC27" s="492"/>
      <c r="BB27" s="280" t="n">
        <f aca="false">IF(A27="","",1)</f>
        <v>1</v>
      </c>
    </row>
    <row r="28" customFormat="false" ht="12.75" hidden="false" customHeight="false" outlineLevel="0" collapsed="false">
      <c r="A28" s="493" t="s">
        <v>852</v>
      </c>
      <c r="B28" s="494" t="n">
        <v>0.05</v>
      </c>
      <c r="C28" s="495"/>
      <c r="D28" s="477" t="str">
        <f aca="false">IF(ISERROR(VLOOKUP($A28,'liste reference'!$A$7:$D$904,2,0)),IF(ISERROR(VLOOKUP($A28,'liste reference'!$B$7:$D$904,1,0)),"",VLOOKUP($A28,'liste reference'!$B$7:$D$904,1,0)),VLOOKUP($A28,'liste reference'!$A$7:$D$904,2,0))</f>
        <v>Fissidens crassipes</v>
      </c>
      <c r="E28" s="496" t="e">
        <f aca="false">IF(D28="",0,VLOOKUP(D28,D$22:D27,1,0))</f>
        <v>#N/A</v>
      </c>
      <c r="F28" s="497" t="n">
        <f aca="false">($B28*$B$7+$C28*$C$7)/100</f>
        <v>0.05</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Fissidens crassipes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1294</v>
      </c>
      <c r="Q28" s="486" t="n">
        <f aca="false">IF(ISTEXT(H28),"",(B28*$B$7/100)+(C28*$C$7/100))</f>
        <v>0.05</v>
      </c>
      <c r="R28" s="487" t="n">
        <f aca="false">IF(OR(ISTEXT(H28),Q28=0),"",IF(Q28&lt;0.1,1,IF(Q28&lt;1,2,IF(Q28&lt;10,3,IF(Q28&lt;50,4,IF(Q28&gt;=50,5,""))))))</f>
        <v>1</v>
      </c>
      <c r="S28" s="487" t="n">
        <f aca="false">IF(ISERROR(R28*I28),0,R28*I28)</f>
        <v>12</v>
      </c>
      <c r="T28" s="487" t="n">
        <f aca="false">IF(ISERROR(R28*I28*J28),0,R28*I28*J28)</f>
        <v>24</v>
      </c>
      <c r="U28" s="499" t="n">
        <f aca="false">IF(ISERROR(R28*J28),0,R28*J28)</f>
        <v>2</v>
      </c>
      <c r="V28" s="488" t="str">
        <f aca="false">IF(AND(A28="",F28=0),"",IF(F28=0,"Il manque le(s) % de rec. !",""))</f>
        <v/>
      </c>
      <c r="W28" s="489"/>
      <c r="Y28" s="490" t="str">
        <f aca="false">IF(A28="new.cod","NEWCOD",IF(AND((Z28=""),ISTEXT(A28)),A28,IF(Z28="","",INDEX('liste reference'!$A$8:$A$904,Z28))))</f>
        <v>FISCRA</v>
      </c>
      <c r="Z28" s="280" t="n">
        <f aca="false">IF(ISERROR(MATCH(A28,'liste reference'!$A$8:$A$904,0)),IF(ISERROR(MATCH(A28,'liste reference'!$B$8:$B$904,0)),"",(MATCH(A28,'liste reference'!$B$8:$B$904,0))),(MATCH(A28,'liste reference'!$A$8:$A$904,0)))</f>
        <v>197</v>
      </c>
      <c r="AA28" s="491"/>
      <c r="AB28" s="492"/>
      <c r="AC28" s="492"/>
      <c r="BB28" s="280" t="n">
        <f aca="false">IF(A28="","",1)</f>
        <v>1</v>
      </c>
    </row>
    <row r="29" customFormat="false" ht="12.75" hidden="false" customHeight="false" outlineLevel="0" collapsed="false">
      <c r="A29" s="493" t="s">
        <v>861</v>
      </c>
      <c r="B29" s="494" t="n">
        <v>0.03</v>
      </c>
      <c r="C29" s="495"/>
      <c r="D29" s="477" t="str">
        <f aca="false">IF(ISERROR(VLOOKUP($A29,'liste reference'!$A$7:$D$904,2,0)),IF(ISERROR(VLOOKUP($A29,'liste reference'!$B$7:$D$904,1,0)),"",VLOOKUP($A29,'liste reference'!$B$7:$D$904,1,0)),VLOOKUP($A29,'liste reference'!$A$7:$D$904,2,0))</f>
        <v>Fissidens grandifrons</v>
      </c>
      <c r="E29" s="496" t="e">
        <f aca="false">IF(D29="",0,VLOOKUP(D29,D$22:D28,1,0))</f>
        <v>#N/A</v>
      </c>
      <c r="F29" s="497" t="n">
        <f aca="false">($B29*$B$7+$C29*$C$7)/100</f>
        <v>0.03</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15</v>
      </c>
      <c r="J29" s="481" t="n">
        <f aca="false">IF(ISNUMBER(H29),IF(ISERROR(VLOOKUP($A29,'liste reference'!$A$7:$P$904,4,0)),IF(ISERROR(VLOOKUP($A29,'liste reference'!$B$7:$P$904,3,0)),"",VLOOKUP($A29,'liste reference'!$B$7:$P$904,3,0)),VLOOKUP($A29,'liste reference'!$A$7:$P$904,4,0)),"")</f>
        <v>3</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Fissidens grandifrons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19666</v>
      </c>
      <c r="Q29" s="486" t="n">
        <f aca="false">IF(ISTEXT(H29),"",(B29*$B$7/100)+(C29*$C$7/100))</f>
        <v>0.03</v>
      </c>
      <c r="R29" s="487" t="n">
        <f aca="false">IF(OR(ISTEXT(H29),Q29=0),"",IF(Q29&lt;0.1,1,IF(Q29&lt;1,2,IF(Q29&lt;10,3,IF(Q29&lt;50,4,IF(Q29&gt;=50,5,""))))))</f>
        <v>1</v>
      </c>
      <c r="S29" s="487" t="n">
        <f aca="false">IF(ISERROR(R29*I29),0,R29*I29)</f>
        <v>15</v>
      </c>
      <c r="T29" s="487" t="n">
        <f aca="false">IF(ISERROR(R29*I29*J29),0,R29*I29*J29)</f>
        <v>45</v>
      </c>
      <c r="U29" s="499" t="n">
        <f aca="false">IF(ISERROR(R29*J29),0,R29*J29)</f>
        <v>3</v>
      </c>
      <c r="V29" s="488" t="str">
        <f aca="false">IF(AND(A29="",F29=0),"",IF(F29=0,"Il manque le(s) % de rec. !",""))</f>
        <v/>
      </c>
      <c r="W29" s="500"/>
      <c r="Y29" s="490" t="str">
        <f aca="false">IF(A29="new.cod","NEWCOD",IF(AND((Z29=""),ISTEXT(A29)),A29,IF(Z29="","",INDEX('liste reference'!$A$8:$A$904,Z29))))</f>
        <v>FISGRN</v>
      </c>
      <c r="Z29" s="280" t="n">
        <f aca="false">IF(ISERROR(MATCH(A29,'liste reference'!$A$8:$A$904,0)),IF(ISERROR(MATCH(A29,'liste reference'!$B$8:$B$904,0)),"",(MATCH(A29,'liste reference'!$B$8:$B$904,0))),(MATCH(A29,'liste reference'!$A$8:$A$904,0)))</f>
        <v>199</v>
      </c>
      <c r="AA29" s="491"/>
      <c r="AB29" s="492"/>
      <c r="AC29" s="492"/>
      <c r="BB29" s="280" t="n">
        <f aca="false">IF(A29="","",1)</f>
        <v>1</v>
      </c>
    </row>
    <row r="30" customFormat="false" ht="12.75" hidden="false" customHeight="false" outlineLevel="0" collapsed="false">
      <c r="A30" s="493" t="s">
        <v>1054</v>
      </c>
      <c r="B30" s="494" t="n">
        <v>0.05</v>
      </c>
      <c r="C30" s="495"/>
      <c r="D30" s="477" t="str">
        <f aca="false">IF(ISERROR(VLOOKUP($A30,'liste reference'!$A$7:$D$904,2,0)),IF(ISERROR(VLOOKUP($A30,'liste reference'!$B$7:$D$904,1,0)),"",VLOOKUP($A30,'liste reference'!$B$7:$D$904,1,0)),VLOOKUP($A30,'liste reference'!$A$7:$D$904,2,0))</f>
        <v>Rhynchostegium riparioides</v>
      </c>
      <c r="E30" s="496" t="e">
        <f aca="false">IF(D30="",0,VLOOKUP(D30,D$22:D29,1,0))</f>
        <v>#N/A</v>
      </c>
      <c r="F30" s="497" t="n">
        <f aca="false">($B30*$B$7+$C30*$C$7)/100</f>
        <v>0.05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Rhynchostegium riparioides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1268</v>
      </c>
      <c r="Q30" s="486" t="n">
        <f aca="false">IF(ISTEXT(H30),"",(B30*$B$7/100)+(C30*$C$7/100))</f>
        <v>0.05</v>
      </c>
      <c r="R30" s="487" t="n">
        <f aca="false">IF(OR(ISTEXT(H30),Q30=0),"",IF(Q30&lt;0.1,1,IF(Q30&lt;1,2,IF(Q30&lt;10,3,IF(Q30&lt;50,4,IF(Q30&gt;=50,5,""))))))</f>
        <v>1</v>
      </c>
      <c r="S30" s="487" t="n">
        <f aca="false">IF(ISERROR(R30*I30),0,R30*I30)</f>
        <v>12</v>
      </c>
      <c r="T30" s="487" t="n">
        <f aca="false">IF(ISERROR(R30*I30*J30),0,R30*I30*J30)</f>
        <v>12</v>
      </c>
      <c r="U30" s="499" t="n">
        <f aca="false">IF(ISERROR(R30*J30),0,R30*J30)</f>
        <v>1</v>
      </c>
      <c r="V30" s="488" t="str">
        <f aca="false">IF(AND(A30="",F30=0),"",IF(F30=0,"Il manque le(s) % de rec. !",""))</f>
        <v/>
      </c>
      <c r="W30" s="489"/>
      <c r="Y30" s="490" t="str">
        <f aca="false">IF(A30="new.cod","NEWCOD",IF(AND((Z30=""),ISTEXT(A30)),A30,IF(Z30="","",INDEX('liste reference'!$A$8:$A$904,Z30))))</f>
        <v>RHYRIP</v>
      </c>
      <c r="Z30" s="280" t="n">
        <f aca="false">IF(ISERROR(MATCH(A30,'liste reference'!$A$8:$A$904,0)),IF(ISERROR(MATCH(A30,'liste reference'!$B$8:$B$904,0)),"",(MATCH(A30,'liste reference'!$B$8:$B$904,0))),(MATCH(A30,'liste reference'!$A$8:$A$904,0)))</f>
        <v>252</v>
      </c>
      <c r="AA30" s="491"/>
      <c r="AB30" s="492"/>
      <c r="AC30" s="492"/>
      <c r="BB30" s="280" t="n">
        <f aca="false">IF(A30="","",1)</f>
        <v>1</v>
      </c>
    </row>
    <row r="31" customFormat="false" ht="12.75" hidden="false" customHeight="false" outlineLevel="0" collapsed="false">
      <c r="A31" s="493" t="s">
        <v>1153</v>
      </c>
      <c r="B31" s="494" t="n">
        <v>0.005</v>
      </c>
      <c r="C31" s="495"/>
      <c r="D31" s="477" t="str">
        <f aca="false">IF(ISERROR(VLOOKUP($A31,'liste reference'!$A$7:$D$904,2,0)),IF(ISERROR(VLOOKUP($A31,'liste reference'!$B$7:$D$904,1,0)),"",VLOOKUP($A31,'liste reference'!$B$7:$D$904,1,0)),VLOOKUP($A31,'liste reference'!$A$7:$D$904,2,0))</f>
        <v>Equisetum arvense</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PTE</v>
      </c>
      <c r="H31" s="480" t="n">
        <f aca="false">IF(A31="","x",IF(ISERROR(VLOOKUP($A31,'liste reference'!$A$8:$P$904,14,0)),IF(ISERROR(VLOOKUP($A31,'liste reference'!$B$8:$P$904,13,0)),"x",VLOOKUP($A31,'liste reference'!$B$8:$P$904,13,0)),VLOOKUP($A31,'liste reference'!$A$8:$P$904,14,0)))</f>
        <v>6</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Equisetum arvense</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1384</v>
      </c>
      <c r="Q31" s="486" t="n">
        <f aca="false">IF(ISTEXT(H31),"",(B31*$B$7/100)+(C31*$C$7/100))</f>
        <v>0.005</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EQUARV</v>
      </c>
      <c r="Z31" s="280" t="n">
        <f aca="false">IF(ISERROR(MATCH(A31,'liste reference'!$A$8:$A$904,0)),IF(ISERROR(MATCH(A31,'liste reference'!$B$8:$B$904,0)),"",(MATCH(A31,'liste reference'!$B$8:$B$904,0))),(MATCH(A31,'liste reference'!$A$8:$A$904,0)))</f>
        <v>278</v>
      </c>
      <c r="AA31" s="491"/>
      <c r="AB31" s="492"/>
      <c r="AC31" s="492"/>
      <c r="BB31" s="280" t="n">
        <f aca="false">IF(A31="","",1)</f>
        <v>1</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Rebenty</v>
      </c>
      <c r="B84" s="529" t="str">
        <f aca="false">C3</f>
        <v>Cailla</v>
      </c>
      <c r="C84" s="530" t="n">
        <f aca="false">A4</f>
        <v>41822</v>
      </c>
      <c r="D84" s="531" t="n">
        <f aca="false">IF(ISERROR(SUM($T$23:$T$82)/SUM($U$23:$U$82)),"",SUM($T$23:$T$82)/SUM($U$23:$U$82))</f>
        <v>13.8666666666667</v>
      </c>
      <c r="E84" s="532" t="n">
        <f aca="false">N13</f>
        <v>9</v>
      </c>
      <c r="F84" s="529" t="n">
        <f aca="false">N14</f>
        <v>9</v>
      </c>
      <c r="G84" s="529" t="n">
        <f aca="false">N15</f>
        <v>2</v>
      </c>
      <c r="H84" s="529" t="n">
        <f aca="false">N16</f>
        <v>4</v>
      </c>
      <c r="I84" s="529" t="n">
        <f aca="false">N17</f>
        <v>1</v>
      </c>
      <c r="J84" s="533" t="n">
        <f aca="false">N8</f>
        <v>10.2222222222222</v>
      </c>
      <c r="K84" s="531" t="n">
        <f aca="false">N9</f>
        <v>5.80761526460977</v>
      </c>
      <c r="L84" s="532" t="n">
        <f aca="false">N10</f>
        <v>0</v>
      </c>
      <c r="M84" s="532" t="n">
        <f aca="false">N11</f>
        <v>16</v>
      </c>
      <c r="N84" s="531" t="n">
        <f aca="false">O8</f>
        <v>1.44444444444444</v>
      </c>
      <c r="O84" s="531" t="n">
        <f aca="false">O9</f>
        <v>0.955813918560292</v>
      </c>
      <c r="P84" s="532" t="n">
        <f aca="false">O10</f>
        <v>0</v>
      </c>
      <c r="Q84" s="532" t="n">
        <f aca="false">O11</f>
        <v>3</v>
      </c>
      <c r="R84" s="532" t="n">
        <f aca="false">F21</f>
        <v>1.13</v>
      </c>
      <c r="S84" s="532" t="n">
        <f aca="false">K11</f>
        <v>0</v>
      </c>
      <c r="T84" s="532" t="n">
        <f aca="false">K12</f>
        <v>3</v>
      </c>
      <c r="U84" s="532" t="n">
        <f aca="false">K13</f>
        <v>5</v>
      </c>
      <c r="V84" s="534" t="n">
        <f aca="false">K14</f>
        <v>1</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30</v>
      </c>
      <c r="T87" s="280"/>
      <c r="U87" s="280"/>
      <c r="V87" s="280"/>
    </row>
    <row r="88" customFormat="false" ht="12.75" hidden="true" customHeight="false" outlineLevel="0" collapsed="false">
      <c r="P88" s="280"/>
      <c r="Q88" s="280" t="s">
        <v>2687</v>
      </c>
      <c r="R88" s="280"/>
      <c r="S88" s="488" t="n">
        <f aca="false">VLOOKUP((S87),($S$23:$U$82),2,0)</f>
        <v>60</v>
      </c>
      <c r="T88" s="280"/>
      <c r="U88" s="280"/>
      <c r="V88" s="280"/>
    </row>
    <row r="89" customFormat="false" ht="12.75" hidden="true" customHeight="false" outlineLevel="0" collapsed="false">
      <c r="Q89" s="280" t="s">
        <v>2688</v>
      </c>
      <c r="R89" s="280"/>
      <c r="S89" s="488" t="n">
        <f aca="false">VLOOKUP((S87),($S$23:$U$82),3,0)</f>
        <v>4</v>
      </c>
      <c r="T89" s="280"/>
    </row>
    <row r="90" customFormat="false" ht="12.75" hidden="false" customHeight="false" outlineLevel="0" collapsed="false">
      <c r="Q90" s="280" t="s">
        <v>2689</v>
      </c>
      <c r="R90" s="280"/>
      <c r="S90" s="538" t="n">
        <f aca="false">IF(ISERROR(SUM($T$23:$T$82)/SUM($U$23:$U$82)),"",(SUM($T$23:$T$82)-S88)/(SUM($U$23:$U$82)-S89))</f>
        <v>13.4545454545455</v>
      </c>
      <c r="T90" s="280"/>
    </row>
    <row r="91" customFormat="false" ht="12.75" hidden="false" customHeight="false" outlineLevel="0" collapsed="false">
      <c r="Q91" s="487" t="s">
        <v>2690</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2691</v>
      </c>
      <c r="R92" s="280"/>
      <c r="S92" s="280" t="n">
        <f aca="false">MATCH(S87,$S$23:$S$82,0)</f>
        <v>2</v>
      </c>
      <c r="T92" s="280"/>
    </row>
    <row r="93" customFormat="false" ht="12.75" hidden="false" customHeight="false" outlineLevel="0" collapsed="false">
      <c r="Q93" s="487" t="s">
        <v>2692</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2693</v>
      </c>
      <c r="B2" s="284"/>
      <c r="C2" s="285" t="s">
        <v>2694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2695</v>
      </c>
      <c r="B3" s="284"/>
      <c r="C3" s="283" t="s">
        <v>2696</v>
      </c>
      <c r="D3" s="294"/>
      <c r="E3" s="294"/>
      <c r="F3" s="295"/>
      <c r="G3" s="295"/>
      <c r="H3" s="296"/>
      <c r="I3" s="297"/>
      <c r="J3" s="296"/>
      <c r="K3" s="298" t="s">
        <v>2697</v>
      </c>
      <c r="L3" s="299"/>
      <c r="M3" s="300" t="s">
        <v>2698</v>
      </c>
      <c r="N3" s="301"/>
      <c r="O3" s="301"/>
      <c r="P3" s="302"/>
      <c r="Q3" s="280"/>
      <c r="R3" s="280"/>
      <c r="S3" s="280"/>
      <c r="T3" s="280"/>
      <c r="U3" s="280"/>
      <c r="V3" s="280"/>
      <c r="W3" s="292"/>
      <c r="X3" s="293"/>
    </row>
    <row r="4" customFormat="false" ht="13.5"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0</v>
      </c>
      <c r="T87" s="280"/>
      <c r="U87" s="280"/>
      <c r="V87" s="280"/>
    </row>
    <row r="88" customFormat="false" ht="12.75" hidden="true" customHeight="false" outlineLevel="0" collapsed="false">
      <c r="P88" s="280"/>
      <c r="Q88" s="280" t="s">
        <v>2687</v>
      </c>
      <c r="R88" s="280"/>
      <c r="S88" s="488" t="n">
        <f aca="false">VLOOKUP((S87),($S$23:$U$82),2,0)</f>
        <v>0</v>
      </c>
      <c r="T88" s="280"/>
      <c r="U88" s="280"/>
      <c r="V88" s="280"/>
    </row>
    <row r="89" customFormat="false" ht="12.75" hidden="true" customHeight="false" outlineLevel="0" collapsed="false">
      <c r="Q89" s="280" t="s">
        <v>2688</v>
      </c>
      <c r="R89" s="280"/>
      <c r="S89" s="488" t="n">
        <f aca="false">VLOOKUP((S87),($S$23:$U$82),3,0)</f>
        <v>0</v>
      </c>
      <c r="T89" s="280"/>
    </row>
    <row r="90" customFormat="false" ht="12.75" hidden="false" customHeight="false" outlineLevel="0" collapsed="false">
      <c r="Q90" s="280" t="s">
        <v>2689</v>
      </c>
      <c r="R90" s="280"/>
      <c r="S90" s="538" t="str">
        <f aca="false">IF(ISERROR(SUM($T$23:$T$82)/SUM($U$23:$U$82)),"",(SUM($T$23:$T$82)-S88)/(SUM($U$23:$U$82)-S89))</f>
        <v/>
      </c>
      <c r="T90" s="280"/>
    </row>
    <row r="91" customFormat="false" ht="12.75" hidden="false" customHeight="false" outlineLevel="0" collapsed="false">
      <c r="Q91" s="487" t="s">
        <v>2690</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2691</v>
      </c>
      <c r="R92" s="280"/>
      <c r="S92" s="280" t="n">
        <f aca="false">MATCH(S87,$S$23:$S$82,0)</f>
        <v>1</v>
      </c>
      <c r="T92" s="280"/>
    </row>
    <row r="93" customFormat="false" ht="12.75" hidden="false" customHeight="false" outlineLevel="0" collapsed="false">
      <c r="Q93" s="487" t="s">
        <v>2692</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2700</v>
      </c>
      <c r="B1" s="549"/>
      <c r="C1" s="549"/>
      <c r="D1" s="549"/>
    </row>
    <row r="2" customFormat="false" ht="15" hidden="false" customHeight="false" outlineLevel="0" collapsed="false">
      <c r="A2" s="550" t="s">
        <v>2701</v>
      </c>
      <c r="B2" s="551"/>
      <c r="C2" s="552"/>
      <c r="D2" s="552"/>
    </row>
    <row r="3" customFormat="false" ht="15.75" hidden="false" customHeight="false" outlineLevel="0" collapsed="false">
      <c r="A3" s="550" t="s">
        <v>2702</v>
      </c>
      <c r="B3" s="551"/>
      <c r="C3" s="552"/>
      <c r="D3" s="553" t="s">
        <v>2703</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2704</v>
      </c>
      <c r="G15" s="571"/>
      <c r="H15" s="572" t="s">
        <v>2705</v>
      </c>
      <c r="I15" s="571"/>
    </row>
    <row r="16" customFormat="false" ht="15" hidden="false" customHeight="false" outlineLevel="0" collapsed="false">
      <c r="A16" s="567" t="s">
        <v>1708</v>
      </c>
      <c r="B16" s="566" t="s">
        <v>1709</v>
      </c>
      <c r="C16" s="568"/>
      <c r="D16" s="569"/>
      <c r="F16" s="573" t="s">
        <v>2706</v>
      </c>
      <c r="G16" s="574"/>
      <c r="H16" s="573" t="s">
        <v>2706</v>
      </c>
      <c r="I16" s="575"/>
    </row>
    <row r="17" customFormat="false" ht="15" hidden="false" customHeight="false" outlineLevel="0" collapsed="false">
      <c r="A17" s="565" t="s">
        <v>2127</v>
      </c>
      <c r="B17" s="566" t="s">
        <v>2128</v>
      </c>
      <c r="C17" s="568"/>
      <c r="D17" s="569"/>
      <c r="F17" s="576" t="s">
        <v>2707</v>
      </c>
      <c r="G17" s="577"/>
      <c r="H17" s="576" t="s">
        <v>2707</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2708</v>
      </c>
      <c r="G19" s="577"/>
      <c r="H19" s="576" t="s">
        <v>2708</v>
      </c>
      <c r="I19" s="578"/>
    </row>
    <row r="20" customFormat="false" ht="15" hidden="false" customHeight="false" outlineLevel="0" collapsed="false">
      <c r="A20" s="567" t="s">
        <v>1714</v>
      </c>
      <c r="B20" s="566" t="s">
        <v>1715</v>
      </c>
      <c r="C20" s="568"/>
      <c r="D20" s="569"/>
      <c r="F20" s="576" t="s">
        <v>2709</v>
      </c>
      <c r="G20" s="577"/>
      <c r="H20" s="576" t="s">
        <v>2709</v>
      </c>
      <c r="I20" s="578"/>
    </row>
    <row r="21" customFormat="false" ht="15" hidden="false" customHeight="false" outlineLevel="0" collapsed="false">
      <c r="A21" s="567" t="s">
        <v>1720</v>
      </c>
      <c r="B21" s="566" t="s">
        <v>1721</v>
      </c>
      <c r="C21" s="568"/>
      <c r="D21" s="569"/>
      <c r="F21" s="576" t="s">
        <v>2710</v>
      </c>
      <c r="G21" s="577"/>
      <c r="H21" s="576" t="s">
        <v>2710</v>
      </c>
      <c r="I21" s="578"/>
    </row>
    <row r="22" customFormat="false" ht="15" hidden="false" customHeight="false" outlineLevel="0" collapsed="false">
      <c r="A22" s="565" t="s">
        <v>1726</v>
      </c>
      <c r="B22" s="566" t="s">
        <v>1727</v>
      </c>
      <c r="C22" s="568"/>
      <c r="D22" s="569"/>
      <c r="F22" s="576" t="s">
        <v>2711</v>
      </c>
      <c r="G22" s="577"/>
      <c r="H22" s="576" t="s">
        <v>2711</v>
      </c>
      <c r="I22" s="578"/>
    </row>
    <row r="23" customFormat="false" ht="15" hidden="false" customHeight="false" outlineLevel="0" collapsed="false">
      <c r="A23" s="565" t="s">
        <v>2465</v>
      </c>
      <c r="B23" s="566" t="s">
        <v>2466</v>
      </c>
      <c r="C23" s="568"/>
      <c r="D23" s="569"/>
      <c r="F23" s="576" t="s">
        <v>2712</v>
      </c>
      <c r="G23" s="577"/>
      <c r="H23" s="576" t="s">
        <v>2712</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2715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2015-01-22T10:54:36Z</dcterms:modified>
  <cp:revision>0</cp:revision>
  <dc:subject/>
  <dc:title>Feuille d'aide au calcul de l'IBMR</dc:title>
</cp:coreProperties>
</file>