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Sals à Coustaussa"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'Sals à Coustaussa'!$A$1:$O$82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'Sals à Coustaussa'!$A$23:$J$84</definedName>
    <definedName function="false" hidden="false" localSheetId="5" name="NOM" vbProcedure="false">'Sals à Coustaussa'!$H$1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<sst xmlns="http://schemas.openxmlformats.org/spreadsheetml/2006/main" count="7386" uniqueCount="3128">
  <si>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</si>
  <si>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</si>
  <si>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</si>
  <si>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</si>
  <si>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</si>
  <si>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</si>
  <si>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</si>
  <si>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</si>
  <si>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</si>
  <si>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</si>
  <si>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</si>
  <si>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</si>
  <si>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</si>
  <si>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</si>
  <si>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</si>
  <si>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</si>
  <si>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</si>
  <si>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</si>
  <si>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</si>
  <si>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</si>
  <si>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</si>
  <si>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</si>
  <si>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</si>
  <si>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</si>
  <si>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</si>
  <si>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</si>
  <si>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</si>
  <si>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</si>
  <si>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</si>
  <si>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</si>
  <si>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</si>
  <si>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</si>
  <si>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</si>
  <si>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</si>
  <si>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</si>
  <si>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</si>
  <si>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</si>
  <si>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</si>
  <si>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</si>
  <si>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</si>
  <si>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</si>
  <si>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</si>
  <si>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</si>
  <si>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</si>
  <si>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</si>
  <si>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</si>
  <si>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</si>
  <si>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</si>
  <si>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</si>
  <si>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</si>
  <si>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</si>
  <si>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</si>
  <si>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</si>
  <si>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</si>
  <si>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</si>
  <si>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</si>
  <si>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</si>
  <si>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</si>
  <si>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</si>
  <si>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</si>
  <si>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</si>
  <si>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</si>
  <si>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</si>
  <si>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</si>
  <si>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</si>
  <si>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</si>
  <si>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</si>
  <si>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</si>
  <si>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</si>
  <si>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</si>
  <si>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</si>
  <si>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</si>
  <si>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</si>
  <si>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</si>
  <si>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</si>
  <si>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</si>
  <si>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</si>
  <si>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</si>
  <si>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</si>
  <si>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</si>
  <si>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</si>
  <si>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</si>
  <si>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</si>
  <si>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</si>
  <si>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</si>
  <si>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</si>
  <si>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</si>
  <si>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</si>
  <si>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</si>
  <si>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</si>
  <si>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</si>
  <si>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</si>
  <si>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</si>
  <si>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</si>
  <si>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</si>
  <si>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</si>
  <si>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</si>
  <si>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</si>
  <si>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</si>
  <si>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</si>
  <si>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</si>
  <si>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</si>
  <si>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</si>
  <si>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</si>
  <si>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</si>
  <si>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</si>
  <si>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</si>
  <si>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</si>
  <si>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</si>
  <si>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</si>
  <si>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</si>
  <si>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</si>
  <si>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</si>
  <si>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</si>
  <si>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</si>
  <si>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</si>
  <si>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</si>
  <si>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</si>
  <si>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</si>
  <si>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</si>
  <si>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</si>
  <si>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</si>
  <si>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</si>
  <si>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</si>
  <si>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</si>
  <si>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</si>
  <si>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</si>
  <si>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</si>
  <si>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</si>
  <si>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</si>
  <si>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</si>
  <si>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</si>
  <si>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</si>
  <si>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</si>
  <si>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</si>
  <si>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</si>
  <si>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</si>
  <si>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</si>
  <si>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</si>
  <si>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</si>
  <si>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</si>
  <si>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</si>
  <si>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</si>
  <si>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</si>
  <si>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</si>
  <si>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</si>
  <si>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</si>
  <si>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</si>
  <si>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</si>
  <si>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</si>
  <si>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</si>
  <si>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</si>
  <si>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</si>
  <si>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</si>
  <si>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</si>
  <si>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</si>
  <si>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</si>
  <si>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</si>
  <si>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</si>
  <si>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</si>
  <si>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</si>
  <si>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</si>
  <si>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</si>
  <si>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</si>
  <si>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</si>
  <si>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</si>
  <si>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</si>
  <si>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</si>
  <si>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</si>
  <si>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</si>
  <si>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</si>
  <si>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</si>
  <si>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</si>
  <si>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</si>
  <si>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</si>
  <si>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</si>
  <si>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</si>
  <si>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</si>
  <si>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</si>
  <si>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</si>
  <si>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</si>
  <si>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</si>
  <si>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</si>
  <si>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</si>
  <si>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</si>
  <si>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</si>
  <si>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</si>
  <si>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</si>
  <si>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</si>
  <si>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</si>
  <si>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</si>
  <si>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</si>
  <si>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</si>
  <si>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</si>
  <si>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</si>
  <si>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</si>
  <si>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</si>
  <si>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</si>
  <si>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</si>
  <si>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</si>
  <si>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</si>
  <si>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</si>
  <si>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</si>
  <si>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</si>
  <si>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</si>
  <si>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</si>
  <si>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</si>
  <si>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</si>
  <si>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</si>
  <si>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</si>
  <si>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</si>
  <si>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</si>
  <si>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</si>
  <si>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</si>
  <si>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</si>
  <si>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</si>
  <si>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</si>
  <si>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</si>
  <si>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</si>
  <si>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</si>
  <si>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</si>
  <si>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</si>
  <si>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</si>
  <si>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</si>
  <si>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</si>
  <si>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</si>
  <si>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</si>
  <si>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</si>
  <si>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</si>
  <si>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</si>
  <si>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</si>
  <si>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</si>
  <si>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</si>
  <si>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</si>
  <si>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</si>
  <si>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</si>
  <si>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</si>
  <si>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</si>
  <si>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</si>
  <si>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</si>
  <si>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</si>
  <si>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</si>
  <si>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</si>
  <si>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</si>
  <si>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</si>
  <si>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</si>
  <si>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</si>
  <si>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</si>
  <si>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</si>
  <si>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</si>
  <si>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</si>
  <si>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</si>
  <si>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</si>
  <si>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</si>
  <si>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</si>
  <si>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</si>
  <si>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</si>
  <si>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</si>
  <si>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</si>
  <si>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</si>
  <si>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</si>
  <si>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</si>
  <si>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</si>
  <si>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</si>
  <si>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</si>
  <si>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</si>
  <si>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</si>
  <si>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</si>
  <si>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</si>
  <si>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</si>
  <si>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</si>
  <si>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</si>
  <si>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</si>
  <si>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</si>
  <si>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</si>
  <si>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</si>
  <si>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</si>
  <si>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</si>
  <si>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</si>
  <si>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</si>
  <si>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</si>
  <si>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</si>
  <si>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</si>
  <si>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</si>
  <si>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</si>
  <si>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</si>
  <si>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</si>
  <si>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</si>
  <si>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</si>
  <si>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</si>
  <si>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</si>
  <si>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</si>
  <si>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</si>
  <si>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</si>
  <si>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</si>
  <si>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</si>
  <si>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</si>
  <si>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</si>
  <si>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</si>
  <si>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</si>
  <si>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</si>
  <si>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</si>
  <si>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</si>
  <si>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</si>
  <si>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</si>
  <si>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</si>
  <si>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</si>
  <si>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</si>
  <si>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</si>
  <si>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</si>
  <si>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</si>
  <si>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</si>
  <si>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</si>
  <si>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</si>
  <si>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</si>
  <si>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</si>
  <si>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</si>
  <si>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</si>
  <si>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</si>
  <si>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</si>
  <si>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</si>
  <si>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</si>
  <si>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</si>
  <si>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</si>
  <si>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</si>
  <si>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</si>
  <si>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</si>
  <si>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</si>
  <si>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</si>
  <si>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</si>
  <si>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</si>
  <si>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</si>
  <si>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</si>
  <si>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</si>
  <si>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</si>
  <si>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</si>
  <si>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</si>
  <si>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</si>
  <si>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</si>
  <si>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</si>
  <si>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</si>
  <si>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</si>
  <si>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</si>
  <si>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</si>
  <si>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</si>
  <si>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</si>
  <si>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</si>
  <si>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</si>
  <si>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</si>
  <si>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</si>
  <si>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</si>
  <si>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</si>
  <si>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</si>
  <si>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</si>
  <si>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</si>
  <si>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</si>
  <si>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</si>
  <si>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</si>
  <si>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</si>
  <si>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</si>
  <si>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</si>
  <si>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</si>
  <si>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</si>
  <si>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</si>
  <si>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</si>
  <si>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</si>
  <si>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</si>
  <si>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</si>
  <si>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</si>
  <si>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</si>
  <si>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</si>
  <si>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</si>
  <si>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</si>
  <si>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</si>
  <si>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</si>
  <si>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</si>
  <si>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</si>
  <si>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</si>
  <si>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</si>
  <si>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</si>
  <si>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</si>
  <si>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</si>
  <si>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</si>
  <si>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</si>
  <si>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</si>
  <si>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</si>
  <si>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</si>
  <si>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</si>
  <si>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</si>
  <si>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</si>
  <si>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</si>
  <si>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</si>
  <si>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</si>
  <si>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</si>
  <si>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</si>
  <si>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</si>
  <si>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</si>
  <si>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</si>
  <si>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</si>
  <si>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</si>
  <si>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</si>
  <si>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</si>
  <si>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</si>
  <si>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</si>
  <si>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</si>
  <si>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</si>
  <si>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</si>
  <si>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</si>
  <si>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</si>
  <si>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</si>
  <si>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</si>
  <si>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</si>
  <si>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</si>
  <si>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</si>
  <si>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</si>
  <si>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</si>
  <si>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</si>
  <si>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</si>
  <si>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</si>
  <si>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</si>
  <si>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</si>
  <si>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</si>
  <si>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</si>
  <si>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</si>
  <si>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</si>
  <si>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</si>
  <si>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</si>
  <si>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</si>
  <si>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</si>
  <si>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</si>
  <si>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</si>
  <si>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</si>
  <si>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</si>
  <si>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</si>
  <si>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</si>
  <si>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</si>
  <si>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</si>
  <si>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</si>
  <si>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</si>
  <si>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</si>
  <si>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</si>
  <si>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</si>
  <si>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</si>
  <si>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</si>
  <si>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</si>
  <si>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</si>
  <si>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</si>
  <si>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</si>
  <si>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</si>
  <si>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</si>
  <si>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</si>
  <si>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</si>
  <si>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</si>
  <si>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</si>
  <si>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</si>
  <si>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</si>
  <si>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</si>
  <si>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</si>
  <si>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</si>
  <si>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</si>
  <si>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</si>
  <si>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</si>
  <si>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</si>
  <si>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</si>
  <si>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</si>
  <si>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</si>
  <si>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</si>
  <si>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</si>
  <si>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</si>
  <si>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</si>
  <si>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</si>
  <si>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</si>
  <si>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</si>
  <si>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</si>
  <si>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</si>
  <si>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</si>
  <si>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</si>
  <si>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</si>
  <si>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</si>
  <si>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</si>
  <si>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</si>
  <si>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</si>
  <si>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</si>
  <si>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</si>
  <si>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</si>
  <si>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</si>
  <si>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</si>
  <si>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</si>
  <si>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</si>
  <si>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</si>
  <si>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</si>
  <si>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</si>
  <si>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</si>
  <si>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</si>
  <si>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</si>
  <si>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</si>
  <si>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</si>
  <si>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</si>
  <si>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</si>
  <si>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</si>
  <si>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</si>
  <si>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</si>
  <si>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</si>
  <si>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</si>
  <si>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</si>
  <si>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</si>
  <si>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</si>
  <si>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</si>
  <si>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</si>
  <si>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</si>
  <si>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</si>
  <si>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</si>
  <si>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</si>
  <si>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</si>
  <si>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</si>
  <si>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</si>
  <si>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</si>
  <si>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</si>
  <si>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</si>
  <si>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</si>
  <si>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</si>
  <si>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</si>
  <si>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</si>
  <si>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</si>
  <si>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</si>
  <si>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</si>
  <si>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</si>
  <si>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</si>
  <si>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</si>
  <si>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</si>
  <si>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</si>
  <si>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</si>
  <si>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</si>
  <si>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</si>
  <si>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</si>
  <si>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</si>
  <si>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</si>
  <si>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</si>
  <si>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</si>
  <si>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</si>
  <si>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</si>
  <si>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</si>
  <si>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</si>
  <si>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</si>
  <si>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</si>
  <si>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</si>
  <si>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</si>
  <si>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</si>
  <si>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</si>
  <si>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</si>
  <si>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</si>
  <si>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</si>
  <si>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</si>
  <si>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</si>
  <si>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</si>
  <si>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</si>
  <si>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</si>
  <si>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</si>
  <si>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</si>
  <si>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</si>
  <si>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</si>
  <si>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</si>
  <si>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</si>
  <si>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</si>
  <si>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</si>
  <si>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</si>
  <si>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</si>
  <si>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</si>
  <si>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</si>
  <si>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</si>
  <si>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</si>
  <si>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</si>
  <si>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</si>
  <si>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</si>
  <si>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</si>
  <si>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</si>
  <si>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</si>
  <si>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</si>
  <si>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</si>
  <si>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</si>
  <si>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</si>
  <si>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</si>
  <si>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</si>
  <si>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</si>
  <si>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</si>
  <si>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</si>
  <si>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</si>
  <si>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</si>
  <si>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</si>
  <si>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</si>
  <si>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</si>
  <si>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</si>
  <si>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</si>
  <si>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</si>
  <si>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</si>
  <si>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</si>
  <si>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</si>
  <si>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</si>
  <si>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</si>
  <si>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</si>
  <si>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</si>
  <si>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</si>
  <si>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</si>
  <si>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</si>
  <si>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</si>
  <si>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</si>
  <si>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</si>
  <si>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</si>
  <si>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</si>
  <si>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</si>
  <si>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</si>
  <si>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</si>
  <si>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</si>
  <si>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</si>
  <si>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</si>
  <si>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</si>
  <si>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</si>
  <si>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</si>
  <si>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</si>
  <si>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</si>
  <si>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</si>
  <si>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</si>
  <si>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</si>
  <si>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</si>
  <si>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</si>
  <si>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</si>
  <si>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</si>
  <si>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</si>
  <si>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</si>
  <si>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</si>
  <si>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</si>
  <si>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</si>
  <si>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</si>
  <si>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</si>
  <si>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</si>
  <si>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</si>
  <si>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</si>
  <si>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</si>
  <si>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</si>
  <si>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</si>
  <si>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</si>
  <si>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</si>
  <si>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</si>
  <si>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</si>
  <si>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</si>
  <si>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</si>
  <si>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</si>
  <si>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</si>
  <si>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</si>
  <si>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</si>
  <si>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</si>
  <si>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</si>
  <si>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</si>
  <si>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</si>
  <si>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</si>
  <si>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</si>
  <si>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</si>
  <si>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</si>
  <si>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</si>
  <si>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</si>
  <si>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</si>
  <si>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</si>
  <si>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</si>
  <si>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</si>
  <si>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</si>
  <si>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</si>
  <si>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</si>
  <si>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</si>
  <si>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</si>
  <si>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</si>
  <si>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</si>
  <si>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</si>
  <si>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</si>
  <si>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</si>
  <si>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</si>
  <si>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</si>
  <si>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</si>
  <si>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</si>
  <si>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</si>
  <si>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</si>
  <si>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</si>
  <si>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</si>
  <si>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</si>
  <si>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</si>
  <si>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</si>
  <si>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</si>
  <si>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</si>
  <si>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</si>
  <si>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</si>
  <si>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</si>
  <si>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</si>
  <si>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</si>
  <si>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</si>
  <si>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</si>
  <si>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</si>
  <si>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</si>
  <si>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</si>
  <si>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</si>
  <si>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</si>
  <si>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</si>
  <si>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</si>
  <si>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</si>
  <si>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</si>
  <si>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</si>
  <si>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</si>
  <si>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</si>
  <si>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</si>
  <si>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</si>
  <si>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</si>
  <si>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</si>
  <si>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</si>
  <si>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</si>
  <si>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</si>
  <si>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</si>
  <si>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</si>
  <si>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</si>
  <si>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</si>
  <si>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</si>
  <si>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</si>
  <si>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</si>
  <si>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</si>
  <si>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</si>
  <si>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</si>
  <si>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</si>
  <si>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</si>
  <si>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</si>
  <si>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</si>
  <si>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</si>
  <si>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</si>
  <si>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</si>
  <si>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</si>
  <si>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</si>
  <si>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</si>
  <si>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</si>
  <si>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</si>
  <si>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</si>
  <si>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</si>
  <si>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</si>
  <si>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</si>
  <si>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</si>
  <si>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</si>
  <si>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</si>
  <si>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</si>
  <si>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</si>
  <si>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</si>
  <si>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</si>
  <si>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</si>
  <si>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</si>
  <si>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</si>
  <si>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</si>
  <si>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</si>
  <si>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</si>
  <si>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</si>
  <si>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</si>
  <si>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</si>
  <si>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</si>
  <si>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</si>
  <si>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</si>
  <si>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</si>
  <si>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</si>
  <si>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</si>
  <si>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</si>
  <si>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</si>
  <si>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</si>
  <si>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</si>
  <si>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</si>
  <si>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</si>
  <si>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</si>
  <si>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</si>
  <si>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</si>
  <si>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</si>
  <si>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</si>
  <si>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</si>
  <si>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</si>
  <si>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</si>
  <si>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</si>
  <si>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</si>
  <si>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</si>
  <si>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</si>
  <si>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</si>
  <si>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</si>
  <si>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</si>
  <si>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</si>
  <si>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</si>
  <si>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</si>
  <si>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</si>
  <si>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</si>
  <si>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</si>
  <si>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</si>
  <si>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</si>
  <si>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</si>
  <si>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</si>
  <si>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</si>
  <si>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</si>
  <si>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</si>
  <si>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</si>
  <si>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</si>
  <si>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</si>
  <si>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</si>
  <si>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</si>
  <si>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</si>
  <si>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</si>
  <si>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</si>
  <si>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</si>
  <si>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</si>
  <si>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</si>
  <si>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</si>
  <si>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</si>
  <si>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</si>
  <si>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</si>
  <si>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</si>
  <si>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</si>
  <si>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</si>
  <si>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</si>
  <si>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</si>
  <si>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</si>
  <si>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</si>
  <si>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</si>
  <si>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</si>
  <si>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</si>
  <si>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</si>
  <si>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</si>
  <si>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</si>
  <si>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</si>
  <si>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</si>
  <si>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</si>
  <si>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</si>
  <si>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</si>
  <si>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</si>
  <si>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</si>
  <si>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</si>
  <si>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</si>
  <si>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</si>
  <si>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</si>
  <si>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</si>
  <si>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</si>
  <si>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</si>
  <si>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</si>
  <si>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</si>
  <si>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</si>
  <si>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</si>
  <si>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</si>
  <si>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</si>
  <si>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</si>
  <si>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</si>
  <si>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</si>
  <si>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</si>
  <si>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</si>
  <si>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</si>
  <si>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</si>
  <si>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</si>
  <si>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</si>
  <si>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</si>
  <si>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</si>
  <si>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</si>
  <si>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</si>
  <si>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</si>
  <si>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</si>
  <si>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</si>
  <si>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</si>
  <si>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</si>
  <si>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</si>
  <si>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</si>
  <si>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</si>
  <si>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</si>
  <si>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</si>
  <si>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</si>
  <si>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</si>
  <si>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</si>
  <si>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</si>
  <si>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</si>
  <si>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</si>
  <si>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</si>
  <si>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</si>
  <si>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</si>
  <si>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</si>
  <si>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</si>
  <si>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</si>
  <si>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</si>
  <si>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</si>
  <si>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</si>
  <si>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</si>
  <si>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</si>
  <si>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</si>
  <si>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</si>
  <si>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</si>
  <si>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</si>
  <si>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</si>
  <si>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</si>
  <si>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</si>
  <si>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</si>
  <si>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</si>
  <si>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</si>
  <si>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</si>
  <si>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</si>
  <si>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</si>
  <si>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</si>
  <si>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</si>
  <si>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</si>
  <si>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</si>
  <si>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</si>
  <si>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</si>
  <si>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</si>
  <si>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</si>
  <si>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</si>
  <si>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</si>
  <si>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</si>
  <si>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</si>
  <si>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</si>
  <si>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</si>
  <si>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</si>
  <si>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</si>
  <si>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</si>
  <si>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</si>
  <si>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</si>
  <si>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</si>
  <si>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</si>
  <si>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</si>
  <si>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</si>
  <si>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</si>
  <si>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</si>
  <si>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</si>
  <si>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</si>
  <si>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</si>
  <si>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</si>
  <si>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</si>
  <si>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</si>
  <si>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</si>
  <si>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</si>
  <si>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</si>
  <si>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</si>
  <si>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</si>
  <si>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</si>
  <si>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</si>
  <si>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</si>
  <si>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</si>
  <si>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</si>
  <si>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</si>
  <si>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</si>
  <si>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</si>
  <si>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</si>
  <si>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</si>
  <si>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</si>
  <si>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</si>
  <si>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</si>
  <si>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</si>
  <si>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</si>
  <si>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</si>
  <si>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</si>
  <si>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</si>
  <si>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</si>
  <si>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</si>
  <si>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</si>
  <si>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</si>
  <si>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</si>
  <si>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</si>
  <si>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</si>
  <si>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</si>
  <si>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</si>
  <si>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</si>
  <si>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</si>
  <si>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</si>
  <si>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</si>
  <si>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</si>
  <si>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</si>
  <si>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</si>
  <si>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</si>
  <si>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</si>
  <si>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</si>
  <si>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</si>
  <si>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</si>
  <si>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</si>
  <si>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</si>
  <si>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</si>
  <si>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</si>
  <si>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</si>
  <si>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</si>
  <si>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</si>
  <si>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</si>
  <si>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</si>
  <si>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</si>
  <si>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</si>
  <si>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</si>
  <si>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</si>
  <si>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</si>
  <si>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</si>
  <si>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</si>
  <si>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</si>
  <si>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</si>
  <si>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</si>
  <si>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</si>
  <si>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</si>
  <si>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</si>
  <si>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</si>
  <si>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</si>
  <si>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</si>
  <si>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</si>
  <si>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</si>
  <si>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</si>
  <si>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</si>
  <si>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</si>
  <si>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</si>
  <si>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</si>
  <si>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</si>
  <si>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</si>
  <si>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</si>
  <si>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</si>
  <si>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</si>
  <si>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</si>
  <si>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</si>
  <si>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</si>
  <si>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</si>
  <si>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</si>
  <si>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</si>
  <si>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</si>
  <si>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</si>
  <si>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</si>
  <si>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</si>
  <si>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</si>
  <si>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</si>
  <si>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</si>
  <si>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</si>
  <si>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</si>
  <si>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</si>
  <si>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</si>
  <si>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</si>
  <si>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</si>
  <si>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</si>
  <si>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</si>
  <si>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</si>
  <si>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</si>
  <si>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</si>
  <si>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</si>
  <si>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</si>
  <si>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</si>
  <si>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</si>
  <si>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</si>
  <si>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</si>
  <si>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</si>
  <si>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</si>
  <si>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</si>
  <si>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</si>
  <si>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</si>
  <si>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</si>
  <si>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</si>
  <si>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</si>
  <si>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</si>
  <si>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</si>
  <si>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</si>
  <si>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</si>
  <si>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</si>
  <si>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</si>
  <si>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</si>
  <si>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</si>
  <si>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</si>
  <si>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</si>
  <si>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</si>
  <si>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</si>
  <si>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</si>
  <si>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</si>
  <si>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</si>
  <si>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</si>
  <si>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</si>
  <si>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</si>
  <si>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</si>
  <si>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</si>
  <si>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</si>
  <si>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</si>
  <si>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</si>
  <si>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</si>
  <si>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</si>
  <si>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</si>
  <si>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</si>
  <si>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</si>
  <si>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</si>
  <si>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</si>
  <si>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</si>
  <si>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</si>
  <si>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</si>
  <si>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</si>
  <si>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</si>
  <si>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</si>
  <si>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</si>
  <si>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</si>
  <si>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</si>
  <si>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</si>
  <si>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</si>
  <si>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</si>
  <si>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</si>
  <si>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</si>
  <si>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</si>
  <si>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</si>
  <si>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</si>
  <si>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</si>
  <si>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</si>
  <si>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</si>
  <si>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</si>
  <si>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</si>
  <si>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</si>
  <si>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</si>
  <si>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</si>
  <si>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</si>
  <si>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</si>
  <si>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</si>
  <si>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</si>
  <si>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</si>
  <si>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</si>
  <si>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</si>
  <si>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</si>
  <si>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</si>
  <si>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</si>
  <si>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</si>
  <si>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</si>
  <si>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</si>
  <si>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</si>
  <si>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</si>
  <si>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</si>
  <si>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</si>
  <si>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</si>
  <si>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</si>
  <si>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</si>
  <si>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</si>
  <si>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</si>
  <si>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</si>
  <si>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</si>
  <si>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</si>
  <si>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</si>
  <si>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</si>
  <si>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</si>
  <si>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</si>
  <si>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</si>
  <si>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</si>
  <si>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</si>
  <si>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</si>
  <si>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</si>
  <si>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</si>
  <si>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</si>
  <si>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</si>
  <si>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</si>
  <si>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</si>
  <si>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</si>
  <si>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</si>
  <si>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</si>
  <si>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</si>
  <si>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</si>
  <si>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</si>
  <si>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</si>
  <si>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</si>
  <si>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</si>
  <si>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</si>
  <si>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</si>
  <si>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</si>
  <si>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</si>
  <si>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</si>
  <si>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</si>
  <si>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</si>
  <si>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</si>
  <si>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</si>
  <si>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</si>
  <si>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</si>
  <si>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</si>
  <si>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</si>
  <si>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</si>
  <si>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</si>
  <si>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</si>
  <si>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</si>
  <si>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</si>
  <si>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</si>
  <si>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</si>
  <si>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</si>
  <si>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</si>
  <si>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</si>
  <si>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</si>
  <si>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</si>
  <si>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</si>
  <si>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</si>
  <si>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</si>
  <si>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</si>
  <si>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</si>
  <si>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</si>
  <si>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</si>
  <si>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</si>
  <si>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</si>
  <si>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</si>
  <si>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</si>
  <si>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</si>
  <si>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</si>
  <si>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</si>
  <si>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</si>
  <si>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</si>
  <si>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</si>
  <si>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</si>
  <si>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</si>
  <si>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</si>
  <si>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</si>
  <si>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</si>
  <si>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</si>
  <si>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</si>
  <si>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</si>
  <si>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</si>
  <si>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</si>
  <si>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</si>
  <si>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</si>
  <si>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</si>
  <si>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</si>
  <si>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</si>
  <si>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</si>
  <si>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</si>
  <si>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</si>
  <si>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</si>
  <si>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</si>
  <si>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</si>
  <si>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</si>
  <si>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</si>
  <si>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</si>
  <si>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</si>
  <si>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</si>
  <si>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</si>
  <si>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</si>
  <si>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</si>
  <si>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</si>
  <si>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</si>
  <si>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</si>
  <si>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</si>
  <si>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</si>
  <si>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</si>
  <si>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</si>
  <si>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</si>
  <si>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</si>
  <si>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</si>
  <si>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</si>
  <si>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</si>
  <si>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</si>
  <si>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</si>
  <si>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</si>
  <si>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</si>
  <si>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</si>
  <si>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</si>
  <si>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</si>
  <si>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</si>
  <si>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</si>
  <si>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</si>
  <si>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</si>
  <si>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</si>
  <si>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</si>
  <si>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</si>
  <si>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</si>
  <si>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</si>
  <si>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</si>
  <si>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</si>
  <si>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</si>
  <si>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</si>
  <si>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</si>
  <si>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</si>
  <si>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</si>
  <si>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</si>
  <si>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</si>
  <si>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</si>
  <si>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</si>
  <si>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</si>
  <si>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</si>
  <si>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</si>
  <si>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</si>
  <si>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</si>
  <si>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</si>
  <si>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</si>
  <si>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</si>
  <si>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</si>
  <si>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</si>
  <si>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</si>
  <si>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</si>
  <si>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</si>
  <si>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</si>
  <si>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</si>
  <si>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</si>
  <si>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</si>
  <si>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</si>
  <si>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</si>
  <si>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</si>
  <si>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</si>
  <si>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</si>
  <si>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</si>
  <si>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</si>
  <si>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</si>
  <si>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</si>
  <si>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</si>
  <si>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</si>
  <si>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</si>
  <si>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</si>
  <si>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</si>
  <si>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</si>
  <si>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</si>
  <si>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</si>
  <si>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</si>
  <si>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</si>
  <si>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</si>
  <si>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</si>
  <si>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</si>
  <si>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</si>
  <si>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</si>
  <si>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</si>
  <si>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</si>
  <si>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</si>
  <si>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</si>
  <si>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</si>
  <si>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</si>
  <si>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</si>
  <si>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</si>
  <si>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</si>
  <si>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</si>
  <si>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</si>
  <si>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</si>
  <si>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</si>
  <si>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</si>
  <si>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</si>
  <si>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</si>
  <si>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</si>
  <si>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</si>
  <si>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</si>
  <si>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</si>
  <si>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</si>
  <si>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</si>
  <si>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</si>
  <si>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</si>
  <si>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</si>
  <si>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</si>
  <si>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</si>
  <si>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</si>
  <si>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</si>
  <si>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</si>
  <si>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</si>
  <si>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</si>
  <si>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</si>
  <si>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</si>
  <si>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</si>
  <si>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</si>
  <si>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</si>
  <si>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</si>
  <si>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</si>
  <si>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</si>
  <si>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</si>
  <si>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</si>
  <si>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</si>
  <si>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</si>
  <si>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</si>
  <si>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</si>
  <si>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</si>
  <si>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</si>
  <si>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</si>
  <si>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</si>
  <si>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</si>
  <si>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</si>
  <si>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</si>
  <si>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</si>
  <si>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</si>
  <si>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</si>
  <si>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</si>
  <si>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</si>
  <si>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</si>
  <si>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</si>
  <si>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</si>
  <si>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</si>
  <si>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</si>
  <si>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</si>
  <si>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</si>
  <si>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</si>
  <si>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</si>
  <si>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</si>
  <si>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</si>
  <si>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</si>
  <si>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</si>
  <si>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</si>
  <si>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</si>
  <si>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</si>
  <si>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</si>
  <si>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</si>
  <si>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</si>
  <si>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</si>
  <si>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</si>
  <si>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</si>
  <si>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</si>
  <si>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</si>
  <si>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</si>
  <si>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</si>
  <si>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</si>
  <si>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</si>
  <si>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</si>
  <si>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</si>
  <si>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</si>
  <si>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</si>
  <si>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</si>
  <si>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</si>
  <si>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</si>
  <si>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</si>
  <si>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</si>
  <si>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</si>
  <si>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</si>
  <si>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</si>
  <si>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</si>
  <si>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</si>
  <si>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</si>
  <si>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</si>
  <si>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</si>
  <si>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</si>
  <si>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</si>
  <si>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</si>
  <si>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</si>
  <si>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</si>
  <si>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</si>
  <si>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</si>
  <si>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</si>
  <si>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</si>
  <si>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</si>
  <si>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</si>
  <si>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</si>
  <si>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</si>
  <si>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</si>
  <si>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</si>
  <si>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</si>
  <si>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</si>
  <si>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</si>
  <si>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</si>
  <si>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</si>
  <si>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</si>
  <si>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</si>
  <si>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</si>
  <si>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</si>
  <si>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</si>
  <si>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</si>
  <si>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</si>
  <si>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</si>
  <si>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</si>
  <si>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</si>
  <si>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</si>
  <si>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</si>
  <si>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</si>
  <si>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</si>
  <si>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</si>
  <si>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</si>
  <si>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</si>
  <si>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</si>
  <si>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</si>
  <si>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</si>
  <si>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</si>
  <si>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</si>
  <si>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</si>
  <si>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</si>
  <si>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</si>
  <si>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</si>
  <si>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</si>
  <si>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</si>
  <si>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</si>
  <si>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</si>
  <si>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</si>
  <si>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</si>
  <si>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</si>
  <si>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</si>
  <si>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</si>
  <si>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</si>
  <si>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</si>
  <si>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</si>
  <si>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</si>
  <si>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</si>
  <si>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</si>
  <si>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</si>
  <si>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</si>
  <si>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</si>
  <si>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</si>
  <si>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</si>
  <si>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</si>
  <si>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</si>
  <si>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</si>
  <si>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</si>
  <si>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</si>
  <si>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</si>
  <si>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</si>
  <si>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</si>
  <si>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</si>
  <si>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</si>
  <si>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</si>
  <si>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</si>
  <si>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</si>
  <si>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</si>
  <si>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</si>
  <si>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</si>
  <si>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</si>
  <si>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</si>
  <si>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</si>
  <si>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</si>
  <si>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</si>
  <si>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</si>
  <si>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</si>
  <si>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</si>
  <si>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</si>
  <si>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</si>
  <si>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</si>
  <si>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</si>
  <si>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</si>
  <si>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</si>
  <si>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</si>
  <si>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</si>
  <si>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</si>
  <si>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</si>
  <si>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</si>
  <si>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</si>
  <si>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</si>
  <si>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</si>
  <si>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</si>
  <si>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</si>
  <si>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</si>
  <si>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</si>
  <si>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</si>
  <si>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</si>
  <si>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</si>
  <si>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</si>
  <si>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</si>
  <si>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</si>
  <si>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</si>
  <si>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</si>
  <si>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</si>
  <si>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</si>
  <si>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</si>
  <si>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</si>
  <si>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</si>
  <si>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</si>
  <si>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</si>
  <si>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</si>
  <si>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</si>
  <si>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</si>
  <si>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</si>
  <si>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</si>
  <si>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</si>
  <si>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</si>
  <si>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</si>
  <si>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</si>
  <si>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</si>
  <si>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</si>
  <si>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</si>
  <si>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</si>
  <si>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</si>
  <si>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</si>
  <si>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</si>
  <si>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</si>
  <si>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</si>
  <si>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</si>
  <si>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</si>
  <si>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</si>
  <si>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</si>
  <si>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</si>
  <si>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</si>
  <si>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</si>
  <si>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</si>
  <si>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</si>
  <si>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</si>
  <si>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</si>
  <si>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</si>
  <si>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</si>
  <si>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</si>
  <si>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</si>
  <si>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</si>
  <si>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</si>
  <si>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</si>
  <si>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</si>
  <si>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</si>
  <si>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</si>
  <si>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</si>
  <si>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</si>
  <si>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</si>
  <si>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</si>
  <si>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</si>
  <si>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</si>
  <si>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</si>
  <si>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</si>
  <si>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</si>
  <si>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</si>
  <si>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</si>
  <si>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</si>
  <si>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</si>
  <si>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</si>
  <si>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</si>
  <si>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</si>
  <si>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</si>
  <si>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</si>
  <si>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</si>
  <si>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</si>
  <si>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</si>
  <si>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</si>
  <si>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</si>
  <si>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</si>
  <si>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</si>
  <si>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</si>
  <si>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</si>
  <si>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</si>
  <si>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</si>
  <si>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</si>
  <si>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</si>
  <si>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</si>
  <si>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</si>
  <si>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</si>
  <si>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</si>
  <si>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</si>
  <si>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</si>
  <si>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</si>
  <si>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</si>
  <si>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</si>
  <si>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</si>
  <si>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</si>
  <si>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</si>
  <si>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</si>
  <si>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</si>
  <si>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</si>
  <si>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</si>
  <si>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</si>
  <si>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</si>
  <si>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</si>
  <si>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</si>
  <si>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</si>
  <si>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</si>
  <si>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</si>
  <si>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</si>
  <si>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</si>
  <si>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</si>
  <si>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</si>
  <si>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</si>
  <si>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</si>
  <si>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</si>
  <si>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</si>
  <si>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</si>
  <si>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</si>
  <si>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</si>
  <si>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</si>
  <si>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</si>
  <si>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</si>
  <si>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</si>
  <si>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</si>
  <si>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</si>
  <si>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</si>
  <si>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</si>
  <si>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</si>
  <si>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</si>
  <si>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</si>
  <si>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</si>
  <si>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</si>
  <si>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</si>
  <si>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</si>
  <si>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</si>
  <si>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</si>
  <si>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</si>
  <si>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</si>
  <si>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</si>
  <si>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</si>
  <si>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</si>
  <si>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</si>
  <si>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</si>
  <si>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</si>
  <si>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</si>
  <si>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</si>
  <si>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</si>
  <si>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</si>
  <si>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</si>
  <si>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</si>
  <si>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</si>
  <si>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</si>
  <si>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</si>
  <si>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</si>
  <si>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</si>
  <si>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</si>
  <si>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</si>
  <si>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</si>
  <si>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</si>
  <si>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</si>
  <si>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</si>
  <si>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</si>
  <si>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</si>
  <si>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</si>
  <si>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</si>
  <si>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</si>
  <si>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</si>
  <si>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</si>
  <si>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</si>
  <si>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</si>
  <si>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</si>
  <si>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</si>
  <si>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</si>
  <si>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</si>
  <si>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</si>
  <si>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</si>
  <si>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</si>
  <si>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</si>
  <si>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</si>
  <si>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</si>
  <si>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</si>
  <si>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</si>
  <si>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</si>
  <si>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</si>
  <si>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</si>
  <si>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</si>
  <si>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</si>
  <si>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</si>
  <si>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</si>
  <si>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</si>
  <si>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</si>
  <si>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</si>
  <si>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</si>
  <si>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</si>
  <si>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</si>
  <si>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</si>
  <si>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</si>
  <si>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</si>
  <si>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</si>
  <si>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</si>
  <si>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</si>
  <si>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</si>
  <si>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</si>
  <si>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</si>
  <si>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</si>
  <si>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</si>
  <si>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</si>
  <si>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</si>
  <si>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</si>
  <si>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</si>
  <si>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</si>
  <si>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</si>
  <si>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</si>
  <si>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</si>
  <si>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</si>
  <si>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</si>
  <si>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</si>
  <si>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</si>
  <si>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</si>
  <si>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</si>
  <si>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</si>
  <si>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</si>
  <si>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</si>
  <si>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</si>
  <si>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</si>
  <si>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</si>
  <si>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</si>
  <si>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</si>
  <si>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</si>
  <si>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</si>
  <si>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</si>
  <si>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</si>
  <si>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</si>
  <si>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</si>
  <si>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</si>
  <si>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</si>
  <si>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</si>
  <si>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</si>
  <si>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</si>
  <si>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</si>
  <si>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</si>
  <si>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</si>
  <si>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</si>
  <si>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</si>
  <si>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</si>
  <si>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</si>
  <si>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</si>
  <si>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</si>
  <si>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</si>
  <si>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</si>
  <si>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</si>
  <si>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</si>
  <si>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</si>
  <si>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</si>
  <si>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</si>
  <si>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</si>
  <si>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</si>
  <si>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</si>
  <si>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</si>
  <si>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</si>
  <si>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</si>
  <si>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</si>
  <si>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</si>
  <si>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</si>
  <si>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</si>
  <si>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</si>
  <si>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</si>
  <si>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</si>
  <si>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</si>
  <si>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</si>
  <si>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</si>
  <si>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</si>
  <si>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</si>
  <si>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</si>
  <si>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</si>
  <si>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</si>
  <si>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</si>
  <si>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</si>
  <si>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</si>
  <si>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</si>
  <si>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</si>
  <si>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</si>
  <si>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</si>
  <si>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</si>
  <si>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</si>
  <si>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</si>
  <si>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</si>
  <si>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</si>
  <si>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</si>
  <si>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</si>
  <si>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</si>
  <si>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</si>
  <si>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</si>
  <si>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</si>
  <si>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</si>
  <si>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</si>
  <si>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</si>
  <si>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</si>
  <si>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</si>
  <si>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</si>
  <si>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</si>
  <si>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</si>
  <si>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</si>
  <si>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</si>
  <si>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</si>
  <si>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</si>
  <si>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</si>
  <si>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</si>
  <si>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</si>
  <si>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</si>
  <si>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</si>
  <si>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</si>
  <si>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</si>
  <si>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</si>
  <si>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</si>
  <si>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</si>
  <si>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</si>
  <si>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</si>
  <si>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</si>
  <si>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</si>
  <si>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</si>
  <si>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</si>
  <si>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</si>
  <si>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</si>
  <si>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</si>
  <si>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</si>
  <si>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</si>
  <si>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</si>
  <si>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</si>
  <si>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</si>
  <si>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</si>
  <si>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</si>
  <si>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</si>
  <si>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</si>
  <si>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</si>
  <si>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</si>
  <si>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</si>
  <si>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</si>
  <si>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</si>
  <si>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</si>
  <si>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</si>
  <si>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</si>
  <si>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</si>
  <si>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</si>
  <si>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</si>
  <si>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</si>
  <si>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</si>
  <si>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</si>
  <si>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</si>
  <si>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</si>
  <si>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</si>
  <si>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</si>
  <si>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</si>
  <si>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</si>
  <si>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</si>
  <si>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</si>
  <si>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</si>
  <si>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</si>
  <si>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</si>
  <si>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</si>
  <si>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</si>
  <si>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</si>
  <si>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</si>
  <si>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</si>
  <si>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</si>
  <si>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</si>
  <si>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</si>
  <si>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</si>
  <si>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</si>
  <si>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</si>
  <si>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</si>
  <si>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</si>
  <si>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</si>
  <si>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</si>
  <si>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</si>
  <si>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</si>
  <si>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</si>
  <si>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</si>
  <si>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</si>
  <si>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</si>
  <si>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</si>
  <si>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</si>
  <si>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</si>
  <si>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</si>
  <si>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</si>
  <si>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</si>
  <si>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</si>
  <si>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</si>
  <si>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</si>
  <si>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</si>
  <si>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</si>
  <si>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</si>
  <si>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</si>
  <si>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</si>
  <si>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</si>
  <si>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</si>
  <si>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</si>
  <si>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</si>
  <si>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</si>
  <si>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</si>
  <si>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</si>
  <si>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</si>
  <si>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</si>
  <si>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</si>
  <si>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</si>
  <si>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</si>
  <si>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</si>
  <si>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</si>
  <si>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</si>
  <si>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</si>
  <si>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</si>
  <si>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</si>
  <si>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</si>
  <si>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</si>
  <si>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</si>
  <si>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</si>
  <si>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</si>
  <si>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</si>
  <si>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</si>
  <si>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</si>
  <si>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</si>
  <si>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</si>
  <si>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</si>
  <si>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</si>
  <si>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</si>
  <si>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</si>
  <si>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</si>
  <si>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</si>
  <si>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</si>
  <si>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</si>
  <si>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</si>
  <si>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</si>
  <si>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</si>
  <si>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</si>
  <si>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</si>
  <si>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</si>
  <si>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</si>
  <si>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</si>
  <si>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</si>
  <si>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</si>
  <si>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</si>
  <si>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</si>
  <si>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</si>
  <si>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</si>
  <si>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</si>
  <si>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</si>
  <si>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</si>
  <si>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</si>
  <si>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</si>
  <si>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</si>
  <si>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</si>
  <si>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</si>
  <si>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</si>
  <si>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</si>
  <si>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</si>
  <si>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</si>
  <si>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</si>
  <si>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</si>
  <si>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</si>
  <si>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</si>
  <si>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</si>
  <si>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</si>
  <si>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</si>
  <si>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</si>
  <si>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</si>
  <si>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</si>
  <si>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</si>
  <si>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</si>
  <si>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</si>
  <si>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</si>
  <si>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</si>
  <si>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</si>
  <si>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</si>
  <si>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</si>
  <si>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</si>
  <si>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</si>
  <si>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</si>
  <si>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</si>
  <si>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</si>
  <si>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</si>
  <si>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</si>
  <si>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</si>
  <si>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</si>
  <si>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</si>
  <si>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</si>
  <si>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</si>
  <si>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</si>
  <si>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</si>
  <si>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</si>
  <si>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</si>
  <si>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</si>
  <si>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</si>
  <si>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</si>
  <si>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</si>
  <si>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</si>
  <si>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</si>
  <si>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</si>
  <si>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</si>
  <si>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</si>
  <si>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</si>
  <si>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</si>
  <si>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</si>
  <si>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</si>
  <si>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</si>
  <si>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</si>
  <si>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</si>
  <si>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</si>
  <si>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</si>
  <si>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</si>
  <si>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</si>
  <si>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</si>
  <si>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</si>
  <si>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</si>
  <si>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</si>
  <si>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</si>
  <si>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</si>
  <si>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</si>
  <si>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</si>
  <si>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</si>
  <si>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</si>
  <si>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</si>
  <si>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</si>
  <si>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</si>
  <si>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</si>
  <si>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</si>
  <si>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</si>
  <si>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</si>
  <si>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</si>
  <si>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</si>
  <si>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</si>
  <si>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</si>
  <si>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</si>
  <si>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</si>
  <si>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</si>
  <si>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</si>
  <si>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</si>
  <si>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</si>
  <si>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</si>
  <si>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</si>
  <si>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</si>
  <si>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</si>
  <si>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</si>
  <si>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</si>
  <si>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</si>
  <si>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</si>
  <si>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</si>
  <si>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</si>
  <si>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</si>
  <si>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</si>
  <si>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</si>
  <si>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</si>
  <si>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</si>
  <si>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</si>
  <si>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</si>
  <si>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</si>
  <si>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</si>
  <si>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</si>
  <si>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</si>
  <si>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</si>
  <si>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</si>
  <si>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</si>
  <si>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</si>
  <si>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</si>
  <si>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</si>
  <si>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</si>
  <si>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</si>
  <si>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</si>
  <si>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</si>
  <si>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</si>
  <si>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</si>
  <si>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</si>
  <si>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</si>
  <si>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</si>
  <si>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</si>
  <si>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</si>
  <si>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</si>
  <si>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</si>
  <si>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</si>
  <si>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</si>
  <si>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</si>
  <si>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</si>
  <si>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</si>
  <si>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</si>
  <si>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</si>
  <si>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</si>
  <si>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</si>
  <si>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</si>
  <si>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</si>
  <si>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</si>
  <si>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</si>
  <si>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</si>
  <si>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</si>
  <si>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</si>
  <si>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</si>
  <si>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</si>
  <si>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</si>
  <si>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</si>
  <si>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</si>
  <si>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</si>
  <si>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</si>
  <si>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</si>
  <si>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</si>
  <si>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</si>
  <si>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</si>
  <si>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</si>
  <si>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</si>
  <si>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</si>
  <si>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</si>
  <si>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</si>
  <si>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</si>
  <si>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</si>
  <si>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</si>
  <si>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</si>
  <si>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</si>
  <si>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</si>
  <si>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</si>
  <si>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</si>
  <si>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</si>
  <si>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</si>
  <si>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</si>
  <si>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</si>
  <si>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</si>
  <si>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</si>
  <si>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</si>
  <si>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</si>
  <si>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</si>
  <si>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</si>
  <si>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</si>
  <si>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</si>
  <si>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</si>
  <si>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</si>
  <si>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</si>
  <si>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</si>
  <si>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</si>
  <si>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</si>
  <si>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</si>
  <si>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</si>
  <si>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</si>
  <si>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</si>
  <si>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</si>
  <si>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</si>
  <si>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</si>
  <si>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</si>
  <si>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</si>
  <si>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</si>
  <si>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</si>
  <si>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</si>
  <si>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</si>
  <si>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</si>
  <si>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</si>
  <si>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</si>
  <si>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</si>
  <si>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</si>
  <si>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</si>
  <si>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</si>
  <si>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</si>
  <si>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</si>
  <si>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</si>
  <si>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</si>
  <si>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</si>
  <si>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</si>
  <si>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</si>
  <si>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</si>
  <si>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</si>
  <si>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</si>
  <si>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</si>
  <si>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</si>
  <si>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</si>
  <si>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</si>
  <si>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</si>
  <si>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</si>
  <si>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</si>
  <si>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</si>
  <si>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</si>
  <si>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</si>
  <si>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</si>
  <si>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</si>
  <si>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</si>
  <si>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</si>
  <si>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</si>
  <si>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</si>
  <si>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</si>
  <si>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</si>
  <si>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</si>
  <si>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</si>
  <si>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</si>
  <si>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</si>
  <si>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</si>
  <si>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</si>
  <si>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</si>
  <si>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</si>
  <si>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</si>
  <si>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</si>
  <si>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</si>
  <si>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</si>
  <si>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</si>
  <si>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</si>
  <si>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</si>
  <si>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</si>
  <si>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</si>
  <si>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</si>
  <si>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</si>
  <si>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</si>
  <si>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</si>
  <si>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</si>
  <si>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</si>
  <si>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</si>
  <si>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</si>
  <si>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</si>
  <si>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</si>
  <si>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</si>
  <si>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</si>
  <si>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</si>
  <si>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</si>
  <si>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</si>
  <si>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</si>
  <si>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</si>
  <si>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</si>
  <si>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</si>
  <si>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</si>
  <si>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</si>
  <si>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</si>
  <si>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</si>
  <si>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</si>
  <si>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</si>
  <si>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</si>
  <si>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</si>
  <si>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</si>
  <si>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</si>
  <si>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</si>
  <si>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</si>
  <si>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</si>
  <si>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</si>
  <si>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</si>
  <si>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</si>
  <si>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</si>
  <si>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</si>
  <si>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</si>
  <si>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</si>
  <si>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</si>
  <si>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</si>
  <si>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</si>
  <si>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</si>
  <si>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</si>
  <si>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</si>
  <si>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</si>
  <si>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</si>
  <si>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</si>
  <si>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</si>
  <si>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</si>
  <si>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</si>
  <si>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</si>
  <si>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</si>
  <si>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</si>
  <si>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</si>
  <si>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</si>
  <si>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</si>
  <si>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</si>
  <si>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</si>
  <si>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</si>
  <si>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</si>
  <si>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</si>
  <si>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</si>
  <si>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</si>
  <si>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</si>
  <si>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</si>
  <si>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</si>
  <si>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</si>
  <si>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</si>
  <si>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</si>
  <si>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</si>
  <si>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</si>
  <si>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</si>
  <si>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</si>
  <si>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</si>
  <si>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</si>
  <si>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</si>
  <si>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</si>
  <si>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</si>
  <si>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</si>
  <si>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</si>
  <si>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</si>
  <si>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</si>
  <si>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</si>
  <si>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</si>
  <si>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</si>
  <si>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</si>
  <si>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</si>
  <si>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</si>
  <si>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</si>
  <si>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</si>
  <si>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</si>
  <si>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</si>
  <si>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</si>
  <si>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</si>
  <si>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</si>
  <si>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</si>
  <si>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</si>
  <si>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</si>
  <si>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</si>
  <si>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</si>
  <si>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</si>
  <si>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</si>
  <si>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</si>
  <si>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</si>
  <si>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</si>
  <si>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</si>
  <si>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</si>
  <si>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</si>
  <si>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</si>
  <si>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</si>
  <si>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</si>
  <si>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</si>
  <si>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</si>
  <si>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</si>
  <si>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</si>
  <si>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</si>
  <si>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</si>
  <si>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</si>
  <si>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</si>
  <si>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</si>
  <si>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</si>
  <si>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</si>
  <si>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</si>
  <si>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</si>
  <si>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</si>
  <si>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</si>
  <si>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</si>
  <si>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</si>
  <si>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</si>
  <si>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</si>
  <si>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</si>
  <si>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</si>
  <si>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</si>
  <si>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</si>
  <si>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</si>
  <si>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</si>
  <si>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</si>
  <si>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</si>
  <si>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</si>
  <si>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</si>
  <si>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</si>
  <si>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</si>
  <si>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</si>
  <si>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</si>
  <si>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</si>
  <si>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</si>
  <si>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</si>
  <si>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</si>
  <si>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</si>
  <si>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</si>
  <si>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</si>
  <si>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</si>
  <si>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</si>
  <si>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</si>
  <si>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</si>
  <si>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</si>
  <si>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</si>
  <si>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</si>
  <si>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</si>
  <si>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</si>
  <si>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</si>
  <si>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</si>
  <si>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</si>
  <si>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</si>
  <si>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</si>
  <si>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</si>
  <si>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</si>
  <si>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</si>
  <si>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</si>
  <si>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</si>
  <si>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</si>
  <si>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</si>
  <si>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</si>
  <si>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</si>
  <si>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</si>
  <si>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</si>
  <si>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</si>
  <si>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</si>
  <si>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</si>
  <si>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</si>
  <si>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</si>
  <si>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</si>
  <si>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</si>
  <si>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</si>
  <si>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</si>
  <si>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</si>
  <si>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</si>
  <si>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</si>
  <si>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</si>
  <si>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</si>
  <si>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</si>
  <si>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</si>
  <si>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</si>
  <si>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</si>
  <si>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</si>
  <si>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</si>
  <si>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</si>
  <si>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</si>
  <si>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</si>
  <si>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</si>
  <si>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</si>
  <si>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</si>
  <si>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</si>
  <si>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</si>
  <si>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</si>
  <si>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</si>
  <si>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</si>
  <si>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</si>
  <si>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</si>
  <si>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</si>
  <si>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</si>
  <si>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</si>
  <si>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</si>
  <si>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</si>
  <si>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</si>
  <si>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</si>
  <si>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</si>
  <si>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</si>
  <si>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</si>
  <si>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</si>
  <si>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</si>
  <si>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</si>
  <si>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</si>
  <si>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</si>
  <si>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</si>
  <si>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</si>
  <si>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</si>
  <si>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</si>
  <si>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</si>
  <si>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</si>
  <si>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</si>
  <si>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</si>
  <si>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</si>
  <si>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</si>
  <si>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</si>
  <si>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</si>
  <si>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</si>
  <si>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</si>
  <si>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</si>
  <si>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</si>
  <si>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</si>
  <si>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</si>
  <si>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</si>
  <si>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</si>
  <si>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</si>
  <si>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</si>
  <si>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</si>
  <si>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</si>
  <si>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</si>
  <si>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</si>
  <si>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</si>
  <si>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</si>
  <si>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</si>
  <si>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</si>
  <si>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</si>
  <si>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</si>
  <si>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</si>
  <si>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</si>
  <si>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</si>
  <si>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</si>
  <si>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</si>
  <si>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</si>
  <si>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</si>
  <si>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</si>
  <si>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</si>
  <si>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</si>
  <si>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</si>
  <si>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</si>
  <si>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</si>
  <si>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</si>
  <si>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</si>
  <si>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</si>
  <si>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</si>
  <si>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</si>
  <si>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</si>
  <si>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</si>
  <si>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</si>
  <si>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</si>
  <si>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</si>
  <si>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</si>
  <si>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</si>
  <si>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</si>
  <si>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</si>
  <si>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</si>
  <si>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</si>
  <si>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</si>
  <si>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</si>
  <si>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</si>
  <si>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</si>
  <si>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</si>
  <si>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</si>
  <si>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</si>
  <si>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</si>
  <si>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</si>
  <si>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</si>
  <si>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</si>
  <si>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</si>
  <si>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</si>
  <si>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</si>
  <si>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</si>
  <si>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</si>
  <si>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</si>
  <si>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</si>
  <si>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</si>
  <si>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</si>
  <si>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</si>
  <si>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</si>
  <si>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</si>
  <si>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</si>
  <si>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</si>
  <si>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</si>
  <si>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</si>
  <si>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</si>
  <si>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</si>
  <si>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</si>
  <si>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</si>
  <si>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</si>
  <si>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</si>
  <si>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</si>
  <si>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</si>
  <si>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</si>
  <si>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</si>
  <si>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</si>
  <si>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</si>
  <si>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</si>
  <si>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</si>
  <si>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</si>
  <si>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</si>
  <si>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</si>
  <si>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</si>
  <si>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</si>
  <si>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</si>
  <si>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</si>
  <si>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</si>
  <si>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</si>
  <si>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</si>
  <si>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</si>
  <si>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</si>
  <si>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</si>
  <si>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</si>
  <si>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</si>
  <si>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</si>
  <si>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</si>
  <si>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</si>
  <si>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</si>
  <si>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</si>
  <si>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</si>
  <si>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</si>
  <si>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</si>
  <si>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</si>
  <si>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</si>
  <si>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</si>
  <si>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</si>
  <si>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</si>
  <si>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</si>
  <si>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</si>
  <si>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</si>
  <si>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</si>
  <si>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</si>
  <si>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</si>
  <si>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</si>
  <si>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</si>
  <si>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</si>
  <si>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</si>
  <si>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</si>
  <si>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</si>
  <si>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</si>
  <si>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</si>
  <si>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</si>
  <si>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</si>
  <si>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</si>
  <si>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</si>
  <si>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</si>
  <si>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</si>
  <si>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</si>
  <si>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</si>
  <si>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</si>
  <si>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</si>
  <si>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</si>
  <si>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</si>
  <si>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</si>
  <si>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</si>
  <si>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</si>
  <si>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</si>
  <si>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</si>
  <si>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</si>
  <si>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</si>
  <si>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</si>
  <si>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</si>
  <si>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</si>
  <si>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</si>
  <si>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</si>
  <si>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</si>
  <si>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</si>
  <si>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</si>
  <si>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</si>
  <si>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</si>
  <si>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</si>
  <si>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</si>
  <si>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</si>
  <si>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Sylvie DAL DEGAN</t>
  </si>
  <si>
    <t xml:space="preserve">conforme AFNOR T90-395 oct. 2003</t>
  </si>
  <si>
    <t xml:space="preserve">Sals</t>
  </si>
  <si>
    <t xml:space="preserve">Coustaussa</t>
  </si>
  <si>
    <t xml:space="preserve">06176950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</si>
  <si>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</si>
  <si>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</si>
  <si>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</si>
  <si>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</si>
  <si>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</si>
  <si>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</si>
  <si>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</si>
  <si>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</si>
  <si>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</si>
  <si>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</si>
  <si>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</si>
  <si>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</si>
  <si>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</si>
  <si>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</si>
  <si>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</si>
  <si>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</si>
  <si>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</si>
  <si>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</si>
  <si>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</si>
  <si>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</si>
  <si>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</si>
  <si>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</si>
  <si>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</si>
  <si>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</si>
  <si>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</si>
  <si>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</si>
  <si>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</si>
  <si>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</si>
  <si>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</si>
  <si>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</si>
  <si>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</si>
  <si>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</si>
  <si>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</si>
  <si>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</si>
  <si>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</si>
  <si>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</si>
  <si>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</si>
  <si>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</si>
  <si>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</si>
  <si>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</si>
  <si>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</si>
  <si>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</si>
  <si>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</si>
  <si>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</si>
  <si>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</si>
  <si>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</si>
  <si>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</si>
  <si>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</si>
  <si>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</si>
  <si>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(75,2254 %)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</si>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</sst>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5" borderId="65" xfId="0" applyFont="true" applyBorder="true" applyAlignment="true" applyProtection="true">
      <alignment horizontal="righ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5" borderId="58" xfId="0" applyFont="true" applyBorder="true" applyAlignment="true" applyProtection="true">
      <alignment horizontal="left" vertical="top" textRotation="0" wrapText="false" indent="0" shrinkToFit="false"/>
      <protection locked="true" hidden="true"/>
    </xf>
    <xf numFmtId="172" fontId="37" fillId="15"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6" fillId="15"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41122</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9.3030303030303</v>
      </c>
      <c r="M5" s="293"/>
      <c r="N5" s="294"/>
      <c r="O5" s="295" t="n">
        <v>9.25806451612903</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56</v>
      </c>
      <c r="C7" s="307" t="n">
        <v>44</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6.67857142857143</v>
      </c>
      <c r="O8" s="323" t="n">
        <f aca="false">AVERAGE(J23:J82)</f>
        <v>1.07142857142857</v>
      </c>
      <c r="P8" s="324"/>
      <c r="Q8" s="250"/>
      <c r="R8" s="250"/>
      <c r="S8" s="250"/>
      <c r="T8" s="250"/>
      <c r="U8" s="250"/>
      <c r="V8" s="250"/>
      <c r="W8" s="262"/>
      <c r="X8" s="263"/>
    </row>
    <row r="9" customFormat="false" ht="13.5" hidden="false" customHeight="false" outlineLevel="0" collapsed="false">
      <c r="A9" s="283" t="s">
        <v>2636</v>
      </c>
      <c r="B9" s="325" t="n">
        <v>74.25</v>
      </c>
      <c r="C9" s="326" t="n">
        <v>76.4</v>
      </c>
      <c r="D9" s="327"/>
      <c r="E9" s="327"/>
      <c r="F9" s="328" t="n">
        <f aca="false">($B9*$B$7+$C9*$C$7)/100</f>
        <v>75.196</v>
      </c>
      <c r="G9" s="329"/>
      <c r="H9" s="330"/>
      <c r="I9" s="331"/>
      <c r="J9" s="332"/>
      <c r="K9" s="313"/>
      <c r="L9" s="333"/>
      <c r="M9" s="322" t="s">
        <v>2637</v>
      </c>
      <c r="N9" s="323" t="n">
        <f aca="false">STDEV(I23:I82)</f>
        <v>5.38897070793721</v>
      </c>
      <c r="O9" s="323" t="n">
        <f aca="false">STDEV(J23:J82)</f>
        <v>0.939998874253519</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9</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5</v>
      </c>
      <c r="L13" s="355"/>
      <c r="M13" s="366" t="s">
        <v>2648</v>
      </c>
      <c r="N13" s="367" t="n">
        <f aca="false">COUNTIF(F23:F82,"&gt;0")</f>
        <v>28</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28</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13</v>
      </c>
      <c r="L15" s="355"/>
      <c r="M15" s="376" t="s">
        <v>2654</v>
      </c>
      <c r="N15" s="377" t="n">
        <f aca="false">COUNTIF(J23:J82,"=1")</f>
        <v>10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7</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74.165</v>
      </c>
      <c r="C20" s="405" t="n">
        <f aca="false">SUM(C23:C82)</f>
        <v>76.575</v>
      </c>
      <c r="D20" s="406"/>
      <c r="E20" s="407" t="s">
        <v>2660</v>
      </c>
      <c r="F20" s="408" t="n">
        <f aca="false">($B20*$B$7+$C20*$C$7)/100</f>
        <v>75.2254</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41.5324</v>
      </c>
      <c r="C21" s="418" t="n">
        <f aca="false">C20*C7/100</f>
        <v>33.693</v>
      </c>
      <c r="D21" s="350" t="str">
        <f aca="false">IF(F21=0,"",IF((ABS(F21-F19))&gt;(0.2*F21),CONCATENATE(" rec. par taxa (",F21," %) supérieur à 20 % !"),""))</f>
        <v> rec. par taxa (75,2254 %) supérieur à 20 % !</v>
      </c>
      <c r="E21" s="419" t="str">
        <f aca="false">IF(F21=0,"",IF((ABS(F21-F19))&gt;(0.2*F21),CONCATENATE("ATTENTION : écart entre rec. par grp (",F19," %) ","et",""),""))</f>
        <v>ATTENTION : écart entre rec. par grp (0 %) et</v>
      </c>
      <c r="F21" s="420" t="n">
        <f aca="false">B21+C21</f>
        <v>75.2254</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2257</v>
      </c>
      <c r="B23" s="444" t="n">
        <v>0.005</v>
      </c>
      <c r="C23" s="445" t="n">
        <v>0.005</v>
      </c>
      <c r="D23" s="446" t="str">
        <f aca="false">IF(ISERROR(VLOOKUP($A23,'liste reference'!$A$7:$D$892,2,0)),IF(ISERROR(VLOOKUP($A23,'liste reference'!$B$7:$D$892,1,0)),"",VLOOKUP($A23,'liste reference'!$B$7:$D$892,1,0)),VLOOKUP($A23,'liste reference'!$A$7:$D$892,2,0))</f>
        <v>Scirpus maritimus</v>
      </c>
      <c r="E23" s="446" t="e">
        <f aca="false">IF(D23="",0,VLOOKUP(D23,D$22:D22,1,0))</f>
        <v>#N/A</v>
      </c>
      <c r="F23" s="447" t="n">
        <f aca="false">($B23*$B$7+$C23*$C$7)/100</f>
        <v>0.005</v>
      </c>
      <c r="G23" s="448" t="str">
        <f aca="false">IF(A23="","",IF(ISERROR(VLOOKUP($A23,'liste reference'!$A$7:$P$892,13,0)),IF(ISERROR(VLOOKUP($A23,'liste reference'!$B$7:$P$892,12,0)),"    -",VLOOKUP($A23,'liste reference'!$B$7:$P$892,12,0)),VLOOKUP($A23,'liste reference'!$A$7:$P$892,13,0)))</f>
        <v>PHx</v>
      </c>
      <c r="H23" s="449" t="n">
        <f aca="false">IF(A23="","x",IF(ISERROR(VLOOKUP($A23,'liste reference'!$A$7:$P$892,14,0)),IF(ISERROR(VLOOKUP($A23,'liste reference'!$B$7:$P$892,13,0)),"x",VLOOKUP($A23,'liste reference'!$B$7:$P$892,13,0)),VLOOKUP($A23,'liste reference'!$A$7:$P$892,14,0)))</f>
        <v>1</v>
      </c>
      <c r="I23" s="450" t="n">
        <f aca="false">IF(ISNUMBER(H23),IF(ISERROR(VLOOKUP($A23,'liste reference'!$A$7:$P$892,3,0)),IF(ISERROR(VLOOKUP($A23,'liste reference'!$B$7:$P$892,2,0)),"",VLOOKUP($A23,'liste reference'!$B$7:$P$892,2,0)),VLOOKUP($A23,'liste reference'!$A$7:$P$892,3,0)),"")</f>
        <v>0</v>
      </c>
      <c r="J23" s="451" t="n">
        <f aca="false">IF(ISNUMBER(H23),IF(ISERROR(VLOOKUP($A23,'liste reference'!$A$7:$P$892,4,0)),IF(ISERROR(VLOOKUP($A23,'liste reference'!$B$7:$P$892,3,0)),"",VLOOKUP($A23,'liste reference'!$B$7:$P$892,3,0)),VLOOKUP($A23,'liste reference'!$A$7:$P$892,4,0)),"")</f>
        <v>0</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Scirpus maritimus</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1522</v>
      </c>
      <c r="Q23" s="455" t="n">
        <f aca="false">IF(ISTEXT(H23),"",(B23*$B$7/100)+(C23*$C$7/100))</f>
        <v>0.005</v>
      </c>
      <c r="R23" s="456" t="n">
        <f aca="false">IF(OR(ISTEXT(H23),Q23=0),"",IF(Q23&lt;0.1,1,IF(Q23&lt;1,2,IF(Q23&lt;10,3,IF(Q23&lt;50,4,IF(Q23&gt;=50,5,""))))))</f>
        <v>1</v>
      </c>
      <c r="S23" s="456" t="n">
        <f aca="false">IF(ISERROR(R23*I23),0,R23*I23)</f>
        <v>0</v>
      </c>
      <c r="T23" s="456" t="n">
        <f aca="false">IF(ISERROR(R23*I23*J23),0,R23*I23*J23)</f>
        <v>0</v>
      </c>
      <c r="U23" s="456" t="n">
        <f aca="false">IF(ISERROR(R23*J23),0,R23*J23)</f>
        <v>0</v>
      </c>
      <c r="V23" s="457" t="n">
        <v>0</v>
      </c>
      <c r="W23" s="458"/>
      <c r="Y23" s="459" t="str">
        <f aca="false">IF(A23="new.cod","NEWCOD",IF(AND((Z23=""),ISTEXT(A23)),A23,IF(Z23="","",INDEX('liste reference'!$A$7:$A$892,Z23))))</f>
        <v>SCIMAR</v>
      </c>
      <c r="Z23" s="250" t="n">
        <f aca="false">IF(ISERROR(MATCH(A23,'liste reference'!$A$7:$A$892,0)),IF(ISERROR(MATCH(A23,'liste reference'!$B$7:$B$892,0)),"",(MATCH(A23,'liste reference'!$B$7:$B$892,0))),(MATCH(A23,'liste reference'!$A$7:$A$892,0)))</f>
        <v>762</v>
      </c>
      <c r="AA23" s="460"/>
      <c r="AB23" s="461"/>
      <c r="AC23" s="461"/>
      <c r="BC23" s="250" t="n">
        <f aca="false">IF(A23="","",1)</f>
        <v>1</v>
      </c>
    </row>
    <row r="24" customFormat="false" ht="12.75" hidden="false" customHeight="false" outlineLevel="0" collapsed="false">
      <c r="A24" s="462" t="s">
        <v>523</v>
      </c>
      <c r="B24" s="463" t="n">
        <v>0.7</v>
      </c>
      <c r="C24" s="464" t="n">
        <v>4</v>
      </c>
      <c r="D24" s="465" t="str">
        <f aca="false">IF(ISERROR(VLOOKUP($A24,'liste reference'!$A$7:$D$892,2,0)),IF(ISERROR(VLOOKUP($A24,'liste reference'!$B$7:$D$892,1,0)),"",VLOOKUP($A24,'liste reference'!$B$7:$D$892,1,0)),VLOOKUP($A24,'liste reference'!$A$7:$D$892,2,0))</f>
        <v>Chara vulgaris</v>
      </c>
      <c r="E24" s="465" t="e">
        <f aca="false">IF(D24="",0,VLOOKUP(D24,D$22:D23,1,0))</f>
        <v>#N/A</v>
      </c>
      <c r="F24" s="466" t="n">
        <f aca="false">($B24*$B$7+$C24*$C$7)/100</f>
        <v>2.152</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13</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Chara vulgaris</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5261</v>
      </c>
      <c r="Q24" s="455" t="n">
        <f aca="false">IF(ISTEXT(H24),"",(B24*$B$7/100)+(C24*$C$7/100))</f>
        <v>2.152</v>
      </c>
      <c r="R24" s="456" t="n">
        <f aca="false">IF(OR(ISTEXT(H24),Q24=0),"",IF(Q24&lt;0.1,1,IF(Q24&lt;1,2,IF(Q24&lt;10,3,IF(Q24&lt;50,4,IF(Q24&gt;=50,5,""))))))</f>
        <v>3</v>
      </c>
      <c r="S24" s="456" t="n">
        <f aca="false">IF(ISERROR(R24*I24),0,R24*I24)</f>
        <v>39</v>
      </c>
      <c r="T24" s="456" t="n">
        <f aca="false">IF(ISERROR(R24*I24*J24),0,R24*I24*J24)</f>
        <v>39</v>
      </c>
      <c r="U24" s="470" t="n">
        <f aca="false">IF(ISERROR(R24*J24),0,R24*J24)</f>
        <v>3</v>
      </c>
      <c r="V24" s="457" t="n">
        <v>3</v>
      </c>
      <c r="W24" s="458"/>
      <c r="Y24" s="459" t="str">
        <f aca="false">IF(A24="new.cod","NEWCOD",IF(AND((Z24=""),ISTEXT(A24)),A24,IF(Z24="","",INDEX('liste reference'!$A$7:$A$892,Z24))))</f>
        <v>CHAVUL</v>
      </c>
      <c r="Z24" s="250" t="n">
        <f aca="false">IF(ISERROR(MATCH(A24,'liste reference'!$A$7:$A$892,0)),IF(ISERROR(MATCH(A24,'liste reference'!$B$7:$B$892,0)),"",(MATCH(A24,'liste reference'!$B$7:$B$892,0))),(MATCH(A24,'liste reference'!$A$7:$A$892,0)))</f>
        <v>162</v>
      </c>
      <c r="AA24" s="460"/>
      <c r="AB24" s="461"/>
      <c r="AC24" s="461"/>
      <c r="BC24" s="250" t="n">
        <f aca="false">IF(A24="","",1)</f>
        <v>1</v>
      </c>
    </row>
    <row r="25" customFormat="false" ht="12.75" hidden="false" customHeight="false" outlineLevel="0" collapsed="false">
      <c r="A25" s="462" t="s">
        <v>594</v>
      </c>
      <c r="B25" s="463" t="n">
        <v>14</v>
      </c>
      <c r="C25" s="464" t="n">
        <v>12</v>
      </c>
      <c r="D25" s="465" t="str">
        <f aca="false">IF(ISERROR(VLOOKUP($A25,'liste reference'!$A$7:$D$892,2,0)),IF(ISERROR(VLOOKUP($A25,'liste reference'!$B$7:$D$892,1,0)),"",VLOOKUP($A25,'liste reference'!$B$7:$D$892,1,0)),VLOOKUP($A25,'liste reference'!$A$7:$D$892,2,0))</f>
        <v>Cladophora sp.</v>
      </c>
      <c r="E25" s="465" t="e">
        <f aca="false">IF(D25="",0,VLOOKUP(D25,D$22:D24,1,0))</f>
        <v>#N/A</v>
      </c>
      <c r="F25" s="466" t="n">
        <f aca="false">($B25*$B$7+$C25*$C$7)/100</f>
        <v>13.12</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6</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Cladophora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1124</v>
      </c>
      <c r="Q25" s="455" t="n">
        <f aca="false">IF(ISTEXT(H25),"",(B25*$B$7/100)+(C25*$C$7/100))</f>
        <v>13.12</v>
      </c>
      <c r="R25" s="456" t="n">
        <f aca="false">IF(OR(ISTEXT(H25),Q25=0),"",IF(Q25&lt;0.1,1,IF(Q25&lt;1,2,IF(Q25&lt;10,3,IF(Q25&lt;50,4,IF(Q25&gt;=50,5,""))))))</f>
        <v>4</v>
      </c>
      <c r="S25" s="456" t="n">
        <f aca="false">IF(ISERROR(R25*I25),0,R25*I25)</f>
        <v>24</v>
      </c>
      <c r="T25" s="456" t="n">
        <f aca="false">IF(ISERROR(R25*I25*J25),0,R25*I25*J25)</f>
        <v>24</v>
      </c>
      <c r="U25" s="470" t="n">
        <f aca="false">IF(ISERROR(R25*J25),0,R25*J25)</f>
        <v>4</v>
      </c>
      <c r="V25" s="457" t="n">
        <v>4</v>
      </c>
      <c r="W25" s="458"/>
      <c r="Y25" s="459" t="str">
        <f aca="false">IF(A25="new.cod","NEWCOD",IF(AND((Z25=""),ISTEXT(A25)),A25,IF(Z25="","",INDEX('liste reference'!$A$7:$A$892,Z25))))</f>
        <v>CLASPX</v>
      </c>
      <c r="Z25" s="250" t="n">
        <f aca="false">IF(ISERROR(MATCH(A25,'liste reference'!$A$7:$A$892,0)),IF(ISERROR(MATCH(A25,'liste reference'!$B$7:$B$892,0)),"",(MATCH(A25,'liste reference'!$B$7:$B$892,0))),(MATCH(A25,'liste reference'!$A$7:$A$892,0)))</f>
        <v>182</v>
      </c>
      <c r="AA25" s="460"/>
      <c r="AB25" s="461"/>
      <c r="AC25" s="461"/>
      <c r="BC25" s="250" t="n">
        <f aca="false">IF(A25="","",1)</f>
        <v>1</v>
      </c>
    </row>
    <row r="26" customFormat="false" ht="12.75" hidden="false" customHeight="false" outlineLevel="0" collapsed="false">
      <c r="A26" s="462" t="s">
        <v>1473</v>
      </c>
      <c r="B26" s="463" t="n">
        <v>0.1</v>
      </c>
      <c r="C26" s="464" t="n">
        <v>5.5</v>
      </c>
      <c r="D26" s="465" t="str">
        <f aca="false">IF(ISERROR(VLOOKUP($A26,'liste reference'!$A$7:$D$892,2,0)),IF(ISERROR(VLOOKUP($A26,'liste reference'!$B$7:$D$892,1,0)),"",VLOOKUP($A26,'liste reference'!$B$7:$D$892,1,0)),VLOOKUP($A26,'liste reference'!$A$7:$D$892,2,0))</f>
        <v>Mougeotia sp.</v>
      </c>
      <c r="E26" s="465" t="e">
        <f aca="false">IF(D26="",0,VLOOKUP(D26,D$22:D25,1,0))</f>
        <v>#N/A</v>
      </c>
      <c r="F26" s="466" t="n">
        <f aca="false">($B26*$B$7+$C26*$C$7)/100</f>
        <v>2.476</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13</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Mougeotia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1146</v>
      </c>
      <c r="Q26" s="455" t="n">
        <f aca="false">IF(ISTEXT(H26),"",(B26*$B$7/100)+(C26*$C$7/100))</f>
        <v>2.476</v>
      </c>
      <c r="R26" s="456" t="n">
        <f aca="false">IF(OR(ISTEXT(H26),Q26=0),"",IF(Q26&lt;0.1,1,IF(Q26&lt;1,2,IF(Q26&lt;10,3,IF(Q26&lt;50,4,IF(Q26&gt;=50,5,""))))))</f>
        <v>3</v>
      </c>
      <c r="S26" s="456" t="n">
        <f aca="false">IF(ISERROR(R26*I26),0,R26*I26)</f>
        <v>39</v>
      </c>
      <c r="T26" s="456" t="n">
        <f aca="false">IF(ISERROR(R26*I26*J26),0,R26*I26*J26)</f>
        <v>78</v>
      </c>
      <c r="U26" s="470" t="n">
        <f aca="false">IF(ISERROR(R26*J26),0,R26*J26)</f>
        <v>6</v>
      </c>
      <c r="V26" s="457" t="n">
        <v>6</v>
      </c>
      <c r="W26" s="471"/>
      <c r="Y26" s="459" t="str">
        <f aca="false">IF(A26="new.cod","NEWCOD",IF(AND((Z26=""),ISTEXT(A26)),A26,IF(Z26="","",INDEX('liste reference'!$A$7:$A$892,Z26))))</f>
        <v>MOUSPX</v>
      </c>
      <c r="Z26" s="250" t="n">
        <f aca="false">IF(ISERROR(MATCH(A26,'liste reference'!$A$7:$A$892,0)),IF(ISERROR(MATCH(A26,'liste reference'!$B$7:$B$892,0)),"",(MATCH(A26,'liste reference'!$B$7:$B$892,0))),(MATCH(A26,'liste reference'!$A$7:$A$892,0)))</f>
        <v>483</v>
      </c>
      <c r="AA26" s="460"/>
      <c r="AB26" s="461"/>
      <c r="AC26" s="461"/>
      <c r="BC26" s="250" t="n">
        <f aca="false">IF(A26="","",1)</f>
        <v>1</v>
      </c>
    </row>
    <row r="27" customFormat="false" ht="12.75" hidden="false" customHeight="false" outlineLevel="0" collapsed="false">
      <c r="A27" s="462" t="s">
        <v>1634</v>
      </c>
      <c r="B27" s="463"/>
      <c r="C27" s="464" t="n">
        <v>15</v>
      </c>
      <c r="D27" s="465" t="str">
        <f aca="false">IF(ISERROR(VLOOKUP($A27,'liste reference'!$A$7:$D$892,2,0)),IF(ISERROR(VLOOKUP($A27,'liste reference'!$B$7:$D$892,1,0)),"",VLOOKUP($A27,'liste reference'!$B$7:$D$892,1,0)),VLOOKUP($A27,'liste reference'!$A$7:$D$892,2,0))</f>
        <v>Oedogonium sp.</v>
      </c>
      <c r="E27" s="465" t="e">
        <f aca="false">IF(D27="",0,VLOOKUP(D27,D$22:D26,1,0))</f>
        <v>#N/A</v>
      </c>
      <c r="F27" s="466" t="n">
        <f aca="false">($B27*$B$7+$C27*$C$7)/100</f>
        <v>6.6</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6</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Oedogonium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1134</v>
      </c>
      <c r="Q27" s="455" t="n">
        <f aca="false">IF(ISTEXT(H27),"",(B27*$B$7/100)+(C27*$C$7/100))</f>
        <v>6.6</v>
      </c>
      <c r="R27" s="456" t="n">
        <f aca="false">IF(OR(ISTEXT(H27),Q27=0),"",IF(Q27&lt;0.1,1,IF(Q27&lt;1,2,IF(Q27&lt;10,3,IF(Q27&lt;50,4,IF(Q27&gt;=50,5,""))))))</f>
        <v>3</v>
      </c>
      <c r="S27" s="456" t="n">
        <f aca="false">IF(ISERROR(R27*I27),0,R27*I27)</f>
        <v>18</v>
      </c>
      <c r="T27" s="456" t="n">
        <f aca="false">IF(ISERROR(R27*I27*J27),0,R27*I27*J27)</f>
        <v>36</v>
      </c>
      <c r="U27" s="470" t="n">
        <f aca="false">IF(ISERROR(R27*J27),0,R27*J27)</f>
        <v>6</v>
      </c>
      <c r="V27" s="457" t="n">
        <v>6</v>
      </c>
      <c r="W27" s="458"/>
      <c r="Y27" s="459" t="str">
        <f aca="false">IF(A27="new.cod","NEWCOD",IF(AND((Z27=""),ISTEXT(A27)),A27,IF(Z27="","",INDEX('liste reference'!$A$7:$A$892,Z27))))</f>
        <v>OEDSPX</v>
      </c>
      <c r="Z27" s="250" t="n">
        <f aca="false">IF(ISERROR(MATCH(A27,'liste reference'!$A$7:$A$892,0)),IF(ISERROR(MATCH(A27,'liste reference'!$B$7:$B$892,0)),"",(MATCH(A27,'liste reference'!$B$7:$B$892,0))),(MATCH(A27,'liste reference'!$A$7:$A$892,0)))</f>
        <v>542</v>
      </c>
      <c r="AA27" s="460"/>
      <c r="AB27" s="461"/>
      <c r="AC27" s="461"/>
      <c r="BC27" s="250" t="n">
        <f aca="false">IF(A27="","",1)</f>
        <v>1</v>
      </c>
    </row>
    <row r="28" customFormat="false" ht="12.75" hidden="false" customHeight="false" outlineLevel="0" collapsed="false">
      <c r="A28" s="462" t="s">
        <v>1710</v>
      </c>
      <c r="B28" s="463" t="n">
        <v>0.01</v>
      </c>
      <c r="C28" s="464" t="n">
        <v>0.2</v>
      </c>
      <c r="D28" s="465" t="str">
        <f aca="false">IF(ISERROR(VLOOKUP($A28,'liste reference'!$A$7:$D$892,2,0)),IF(ISERROR(VLOOKUP($A28,'liste reference'!$B$7:$D$892,1,0)),"",VLOOKUP($A28,'liste reference'!$B$7:$D$892,1,0)),VLOOKUP($A28,'liste reference'!$A$7:$D$892,2,0))</f>
        <v>Phormidium sp.</v>
      </c>
      <c r="E28" s="465" t="e">
        <f aca="false">IF(D28="",0,VLOOKUP(D28,D$22:D27,1,0))</f>
        <v>#N/A</v>
      </c>
      <c r="F28" s="466" t="n">
        <f aca="false">($B28*$B$7+$C28*$C$7)/100</f>
        <v>0.0936</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13</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Phormidium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6414</v>
      </c>
      <c r="Q28" s="455" t="n">
        <f aca="false">IF(ISTEXT(H28),"",(B28*$B$7/100)+(C28*$C$7/100))</f>
        <v>0.0936</v>
      </c>
      <c r="R28" s="456" t="n">
        <f aca="false">IF(OR(ISTEXT(H28),Q28=0),"",IF(Q28&lt;0.1,1,IF(Q28&lt;1,2,IF(Q28&lt;10,3,IF(Q28&lt;50,4,IF(Q28&gt;=50,5,""))))))</f>
        <v>1</v>
      </c>
      <c r="S28" s="456" t="n">
        <f aca="false">IF(ISERROR(R28*I28),0,R28*I28)</f>
        <v>13</v>
      </c>
      <c r="T28" s="456" t="n">
        <f aca="false">IF(ISERROR(R28*I28*J28),0,R28*I28*J28)</f>
        <v>26</v>
      </c>
      <c r="U28" s="470" t="n">
        <f aca="false">IF(ISERROR(R28*J28),0,R28*J28)</f>
        <v>2</v>
      </c>
      <c r="V28" s="457" t="n">
        <v>2</v>
      </c>
      <c r="W28" s="458"/>
      <c r="Y28" s="459" t="str">
        <f aca="false">IF(A28="new.cod","NEWCOD",IF(AND((Z28=""),ISTEXT(A28)),A28,IF(Z28="","",INDEX('liste reference'!$A$7:$A$892,Z28))))</f>
        <v>PHOSPX</v>
      </c>
      <c r="Z28" s="250" t="n">
        <f aca="false">IF(ISERROR(MATCH(A28,'liste reference'!$A$7:$A$892,0)),IF(ISERROR(MATCH(A28,'liste reference'!$B$7:$B$892,0)),"",(MATCH(A28,'liste reference'!$B$7:$B$892,0))),(MATCH(A28,'liste reference'!$A$7:$A$892,0)))</f>
        <v>570</v>
      </c>
      <c r="AA28" s="460"/>
      <c r="AB28" s="461"/>
      <c r="AC28" s="461"/>
      <c r="BC28" s="250" t="n">
        <f aca="false">IF(A28="","",1)</f>
        <v>1</v>
      </c>
    </row>
    <row r="29" customFormat="false" ht="12.75" hidden="false" customHeight="false" outlineLevel="0" collapsed="false">
      <c r="A29" s="462" t="s">
        <v>2139</v>
      </c>
      <c r="B29" s="463" t="n">
        <v>0.005</v>
      </c>
      <c r="C29" s="464"/>
      <c r="D29" s="465" t="str">
        <f aca="false">IF(ISERROR(VLOOKUP($A29,'liste reference'!$A$7:$D$892,2,0)),IF(ISERROR(VLOOKUP($A29,'liste reference'!$B$7:$D$892,1,0)),"",VLOOKUP($A29,'liste reference'!$B$7:$D$892,1,0)),VLOOKUP($A29,'liste reference'!$A$7:$D$892,2,0))</f>
        <v>Rivularia sp.</v>
      </c>
      <c r="E29" s="465" t="e">
        <f aca="false">IF(D29="",0,VLOOKUP(D29,D$22:D22,1,0))</f>
        <v>#N/A</v>
      </c>
      <c r="F29" s="466" t="n">
        <f aca="false">($B29*$B$7+$C29*$C$7)/100</f>
        <v>0.0028</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0</v>
      </c>
      <c r="J29" s="451" t="n">
        <f aca="false">IF(ISNUMBER(H29),IF(ISERROR(VLOOKUP($A29,'liste reference'!$A$7:$P$892,4,0)),IF(ISERROR(VLOOKUP($A29,'liste reference'!$B$7:$P$892,3,0)),"",VLOOKUP($A29,'liste reference'!$B$7:$P$892,3,0)),VLOOKUP($A29,'liste reference'!$A$7:$P$892,4,0)),"")</f>
        <v>0</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Rivularia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63</v>
      </c>
      <c r="Q29" s="455" t="n">
        <f aca="false">IF(ISTEXT(H29),"",(B29*$B$7/100)+(C29*$C$7/100))</f>
        <v>0.0028</v>
      </c>
      <c r="R29" s="456" t="n">
        <f aca="false">IF(OR(ISTEXT(H29),Q29=0),"",IF(Q29&lt;0.1,1,IF(Q29&lt;1,2,IF(Q29&lt;10,3,IF(Q29&lt;50,4,IF(Q29&gt;=50,5,""))))))</f>
        <v>1</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RIVSPX</v>
      </c>
      <c r="Z29" s="250" t="n">
        <f aca="false">IF(ISERROR(MATCH(A29,'liste reference'!$A$7:$A$892,0)),IF(ISERROR(MATCH(A29,'liste reference'!$B$7:$B$892,0)),"",(MATCH(A29,'liste reference'!$B$7:$B$892,0))),(MATCH(A29,'liste reference'!$A$7:$A$892,0)))</f>
        <v>719</v>
      </c>
      <c r="AA29" s="460"/>
      <c r="AB29" s="461"/>
      <c r="AC29" s="461"/>
      <c r="BC29" s="250" t="n">
        <f aca="false">IF(A29="","",1)</f>
        <v>1</v>
      </c>
    </row>
    <row r="30" customFormat="false" ht="12.75" hidden="false" customHeight="false" outlineLevel="0" collapsed="false">
      <c r="A30" s="462" t="s">
        <v>2401</v>
      </c>
      <c r="B30" s="463" t="n">
        <v>56</v>
      </c>
      <c r="C30" s="464" t="n">
        <v>15</v>
      </c>
      <c r="D30" s="465" t="str">
        <f aca="false">IF(ISERROR(VLOOKUP($A30,'liste reference'!$A$7:$D$892,2,0)),IF(ISERROR(VLOOKUP($A30,'liste reference'!$B$7:$D$892,1,0)),"",VLOOKUP($A30,'liste reference'!$B$7:$D$892,1,0)),VLOOKUP($A30,'liste reference'!$A$7:$D$892,2,0))</f>
        <v>Spirogyra sp.</v>
      </c>
      <c r="E30" s="465" t="e">
        <f aca="false">IF(D30="",0,VLOOKUP(D30,D$22:D29,1,0))</f>
        <v>#N/A</v>
      </c>
      <c r="F30" s="466" t="n">
        <f aca="false">($B30*$B$7+$C30*$C$7)/100</f>
        <v>37.96</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10</v>
      </c>
      <c r="J30" s="451" t="n">
        <f aca="false">IF(ISNUMBER(H30),IF(ISERROR(VLOOKUP($A30,'liste reference'!$A$7:$P$892,4,0)),IF(ISERROR(VLOOKUP($A30,'liste reference'!$B$7:$P$892,3,0)),"",VLOOKUP($A30,'liste reference'!$B$7:$P$892,3,0)),VLOOKUP($A30,'liste reference'!$A$7:$P$892,4,0)),"")</f>
        <v>1</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Spirogyra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1147</v>
      </c>
      <c r="Q30" s="455" t="n">
        <f aca="false">IF(ISTEXT(H30),"",(B30*$B$7/100)+(C30*$C$7/100))</f>
        <v>37.96</v>
      </c>
      <c r="R30" s="456" t="n">
        <f aca="false">IF(OR(ISTEXT(H30),Q30=0),"",IF(Q30&lt;0.1,1,IF(Q30&lt;1,2,IF(Q30&lt;10,3,IF(Q30&lt;50,4,IF(Q30&gt;=50,5,""))))))</f>
        <v>4</v>
      </c>
      <c r="S30" s="456" t="n">
        <f aca="false">IF(ISERROR(R30*I30),0,R30*I30)</f>
        <v>40</v>
      </c>
      <c r="T30" s="456" t="n">
        <f aca="false">IF(ISERROR(R30*I30*J30),0,R30*I30*J30)</f>
        <v>40</v>
      </c>
      <c r="U30" s="470" t="n">
        <f aca="false">IF(ISERROR(R30*J30),0,R30*J30)</f>
        <v>4</v>
      </c>
      <c r="V30" s="457" t="n">
        <v>4</v>
      </c>
      <c r="W30" s="458"/>
      <c r="Y30" s="459" t="str">
        <f aca="false">IF(A30="new.cod","NEWCOD",IF(AND((Z30=""),ISTEXT(A30)),A30,IF(Z30="","",INDEX('liste reference'!$A$7:$A$892,Z30))))</f>
        <v>SPISPX</v>
      </c>
      <c r="Z30" s="250" t="n">
        <f aca="false">IF(ISERROR(MATCH(A30,'liste reference'!$A$7:$A$892,0)),IF(ISERROR(MATCH(A30,'liste reference'!$B$7:$B$892,0)),"",(MATCH(A30,'liste reference'!$B$7:$B$892,0))),(MATCH(A30,'liste reference'!$A$7:$A$892,0)))</f>
        <v>815</v>
      </c>
      <c r="AA30" s="460"/>
      <c r="AB30" s="461"/>
      <c r="AC30" s="461"/>
      <c r="BC30" s="250" t="n">
        <f aca="false">IF(A30="","",1)</f>
        <v>1</v>
      </c>
    </row>
    <row r="31" customFormat="false" ht="12.75" hidden="false" customHeight="false" outlineLevel="0" collapsed="false">
      <c r="A31" s="462" t="s">
        <v>2528</v>
      </c>
      <c r="B31" s="463"/>
      <c r="C31" s="464" t="n">
        <v>4</v>
      </c>
      <c r="D31" s="465" t="str">
        <f aca="false">IF(ISERROR(VLOOKUP($A31,'liste reference'!$A$7:$D$892,2,0)),IF(ISERROR(VLOOKUP($A31,'liste reference'!$B$7:$D$892,1,0)),"",VLOOKUP($A31,'liste reference'!$B$7:$D$892,1,0)),VLOOKUP($A31,'liste reference'!$A$7:$D$892,2,0))</f>
        <v>Vaucheria sp.</v>
      </c>
      <c r="E31" s="465" t="e">
        <f aca="false">IF(D31="",0,VLOOKUP(D31,D$22:D30,1,0))</f>
        <v>#N/A</v>
      </c>
      <c r="F31" s="466" t="n">
        <f aca="false">($B31*$B$7+$C31*$C$7)/100</f>
        <v>1.76</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4</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Vaucheria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6193</v>
      </c>
      <c r="Q31" s="455" t="n">
        <f aca="false">IF(ISTEXT(H31),"",(B31*$B$7/100)+(C31*$C$7/100))</f>
        <v>1.76</v>
      </c>
      <c r="R31" s="456" t="n">
        <f aca="false">IF(OR(ISTEXT(H31),Q31=0),"",IF(Q31&lt;0.1,1,IF(Q31&lt;1,2,IF(Q31&lt;10,3,IF(Q31&lt;50,4,IF(Q31&gt;=50,5,""))))))</f>
        <v>3</v>
      </c>
      <c r="S31" s="456" t="n">
        <f aca="false">IF(ISERROR(R31*I31),0,R31*I31)</f>
        <v>12</v>
      </c>
      <c r="T31" s="456" t="n">
        <f aca="false">IF(ISERROR(R31*I31*J31),0,R31*I31*J31)</f>
        <v>12</v>
      </c>
      <c r="U31" s="470" t="n">
        <f aca="false">IF(ISERROR(R31*J31),0,R31*J31)</f>
        <v>3</v>
      </c>
      <c r="V31" s="457" t="n">
        <v>3</v>
      </c>
      <c r="W31" s="458"/>
      <c r="Y31" s="459" t="str">
        <f aca="false">IF(A31="new.cod","NEWCOD",IF(AND((Z31=""),ISTEXT(A31)),A31,IF(Z31="","",INDEX('liste reference'!$A$7:$A$892,Z31))))</f>
        <v>VAUSPX</v>
      </c>
      <c r="Z31" s="250" t="n">
        <f aca="false">IF(ISERROR(MATCH(A31,'liste reference'!$A$7:$A$892,0)),IF(ISERROR(MATCH(A31,'liste reference'!$B$7:$B$892,0)),"",(MATCH(A31,'liste reference'!$B$7:$B$892,0))),(MATCH(A31,'liste reference'!$A$7:$A$892,0)))</f>
        <v>864</v>
      </c>
      <c r="AA31" s="460"/>
      <c r="AB31" s="461"/>
      <c r="AC31" s="461"/>
      <c r="BC31" s="250" t="n">
        <f aca="false">IF(A31="","",1)</f>
        <v>1</v>
      </c>
    </row>
    <row r="32" customFormat="false" ht="12.75" hidden="false" customHeight="false" outlineLevel="0" collapsed="false">
      <c r="A32" s="462" t="s">
        <v>2578</v>
      </c>
      <c r="B32" s="463" t="n">
        <v>0.9</v>
      </c>
      <c r="C32" s="464" t="n">
        <v>9.5</v>
      </c>
      <c r="D32" s="465" t="str">
        <f aca="false">IF(ISERROR(VLOOKUP($A32,'liste reference'!$A$7:$D$892,2,0)),IF(ISERROR(VLOOKUP($A32,'liste reference'!$B$7:$D$892,1,0)),"",VLOOKUP($A32,'liste reference'!$B$7:$D$892,1,0)),VLOOKUP($A32,'liste reference'!$A$7:$D$892,2,0))</f>
        <v>Zygnema sp.</v>
      </c>
      <c r="E32" s="465" t="e">
        <f aca="false">IF(D32="",0,VLOOKUP(D32,D$22:D31,1,0))</f>
        <v>#N/A</v>
      </c>
      <c r="F32" s="466" t="n">
        <f aca="false">($B32*$B$7+$C32*$C$7)/100</f>
        <v>4.684</v>
      </c>
      <c r="G32" s="467" t="str">
        <f aca="false">IF(A32="","",IF(ISERROR(VLOOKUP($A32,'liste reference'!$A$7:$P$892,13,0)),IF(ISERROR(VLOOKUP($A32,'liste reference'!$B$7:$P$892,12,0)),"    -",VLOOKUP($A32,'liste reference'!$B$7:$P$892,12,0)),VLOOKUP($A32,'liste reference'!$A$7:$P$892,13,0)))</f>
        <v>ALG</v>
      </c>
      <c r="H32" s="449" t="n">
        <f aca="false">IF(A32="","x",IF(ISERROR(VLOOKUP($A32,'liste reference'!$A$7:$P$892,14,0)),IF(ISERROR(VLOOKUP($A32,'liste reference'!$B$7:$P$892,13,0)),"x",VLOOKUP($A32,'liste reference'!$B$7:$P$892,13,0)),VLOOKUP($A32,'liste reference'!$A$7:$P$892,14,0)))</f>
        <v>2</v>
      </c>
      <c r="I32" s="468" t="n">
        <f aca="false">IF(ISNUMBER(H32),IF(ISERROR(VLOOKUP($A32,'liste reference'!$A$7:$P$892,3,0)),IF(ISERROR(VLOOKUP($A32,'liste reference'!$B$7:$P$892,2,0)),"",VLOOKUP($A32,'liste reference'!$B$7:$P$892,2,0)),VLOOKUP($A32,'liste reference'!$A$7:$P$892,3,0)),"")</f>
        <v>13</v>
      </c>
      <c r="J32" s="451" t="n">
        <f aca="false">IF(ISNUMBER(H32),IF(ISERROR(VLOOKUP($A32,'liste reference'!$A$7:$P$892,4,0)),IF(ISERROR(VLOOKUP($A32,'liste reference'!$B$7:$P$892,3,0)),"",VLOOKUP($A32,'liste reference'!$B$7:$P$892,3,0)),VLOOKUP($A32,'liste reference'!$A$7:$P$892,4,0)),"")</f>
        <v>3</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Zygnema sp.</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1148</v>
      </c>
      <c r="Q32" s="455" t="n">
        <f aca="false">IF(ISTEXT(H32),"",(B32*$B$7/100)+(C32*$C$7/100))</f>
        <v>4.684</v>
      </c>
      <c r="R32" s="456" t="n">
        <f aca="false">IF(OR(ISTEXT(H32),Q32=0),"",IF(Q32&lt;0.1,1,IF(Q32&lt;1,2,IF(Q32&lt;10,3,IF(Q32&lt;50,4,IF(Q32&gt;=50,5,""))))))</f>
        <v>3</v>
      </c>
      <c r="S32" s="456" t="n">
        <f aca="false">IF(ISERROR(R32*I32),0,R32*I32)</f>
        <v>39</v>
      </c>
      <c r="T32" s="456" t="n">
        <f aca="false">IF(ISERROR(R32*I32*J32),0,R32*I32*J32)</f>
        <v>117</v>
      </c>
      <c r="U32" s="470" t="n">
        <f aca="false">IF(ISERROR(R32*J32),0,R32*J32)</f>
        <v>9</v>
      </c>
      <c r="V32" s="457" t="n">
        <v>9</v>
      </c>
      <c r="W32" s="458"/>
      <c r="X32" s="458"/>
      <c r="Y32" s="459" t="str">
        <f aca="false">IF(A32="new.cod","NEWCOD",IF(AND((Z32=""),ISTEXT(A32)),A32,IF(Z32="","",INDEX('liste reference'!$A$7:$A$892,Z32))))</f>
        <v>ZYGSPX</v>
      </c>
      <c r="Z32" s="250" t="n">
        <f aca="false">IF(ISERROR(MATCH(A32,'liste reference'!$A$7:$A$892,0)),IF(ISERROR(MATCH(A32,'liste reference'!$B$7:$B$892,0)),"",(MATCH(A32,'liste reference'!$B$7:$B$892,0))),(MATCH(A32,'liste reference'!$A$7:$A$892,0)))</f>
        <v>886</v>
      </c>
      <c r="AA32" s="460"/>
      <c r="AB32" s="461"/>
      <c r="AC32" s="461"/>
      <c r="BC32" s="250" t="n">
        <f aca="false">IF(A32="","",1)</f>
        <v>1</v>
      </c>
    </row>
    <row r="33" customFormat="false" ht="12.75" hidden="false" customHeight="false" outlineLevel="0" collapsed="false">
      <c r="A33" s="462" t="s">
        <v>1671</v>
      </c>
      <c r="B33" s="463" t="n">
        <v>0.005</v>
      </c>
      <c r="C33" s="464" t="n">
        <v>0.005</v>
      </c>
      <c r="D33" s="465" t="str">
        <f aca="false">IF(ISERROR(VLOOKUP($A33,'liste reference'!$A$7:$D$892,2,0)),IF(ISERROR(VLOOKUP($A33,'liste reference'!$B$7:$D$892,1,0)),"",VLOOKUP($A33,'liste reference'!$B$7:$D$892,1,0)),VLOOKUP($A33,'liste reference'!$A$7:$D$892,2,0))</f>
        <v>Pellia endiviifolia</v>
      </c>
      <c r="E33" s="465" t="e">
        <f aca="false">IF(D33="",0,VLOOKUP(D33,D$22:D32,1,0))</f>
        <v>#N/A</v>
      </c>
      <c r="F33" s="466" t="n">
        <f aca="false">($B33*$B$7+$C33*$C$7)/100</f>
        <v>0.005</v>
      </c>
      <c r="G33" s="467" t="str">
        <f aca="false">IF(A33="","",IF(ISERROR(VLOOKUP($A33,'liste reference'!$A$7:$P$892,13,0)),IF(ISERROR(VLOOKUP($A33,'liste reference'!$B$7:$P$892,12,0)),"    -",VLOOKUP($A33,'liste reference'!$B$7:$P$892,12,0)),VLOOKUP($A33,'liste reference'!$A$7:$P$892,13,0)))</f>
        <v>BRh</v>
      </c>
      <c r="H33" s="449" t="n">
        <f aca="false">IF(A33="","x",IF(ISERROR(VLOOKUP($A33,'liste reference'!$A$7:$P$892,14,0)),IF(ISERROR(VLOOKUP($A33,'liste reference'!$B$7:$P$892,13,0)),"x",VLOOKUP($A33,'liste reference'!$B$7:$P$892,13,0)),VLOOKUP($A33,'liste reference'!$A$7:$P$892,14,0)))</f>
        <v>4</v>
      </c>
      <c r="I33" s="468" t="n">
        <f aca="false">IF(ISNUMBER(H33),IF(ISERROR(VLOOKUP($A33,'liste reference'!$A$7:$P$892,3,0)),IF(ISERROR(VLOOKUP($A33,'liste reference'!$B$7:$P$892,2,0)),"",VLOOKUP($A33,'liste reference'!$B$7:$P$892,2,0)),VLOOKUP($A33,'liste reference'!$A$7:$P$892,3,0)),"")</f>
        <v>0</v>
      </c>
      <c r="J33" s="451" t="n">
        <f aca="false">IF(ISNUMBER(H33),IF(ISERROR(VLOOKUP($A33,'liste reference'!$A$7:$P$892,4,0)),IF(ISERROR(VLOOKUP($A33,'liste reference'!$B$7:$P$892,3,0)),"",VLOOKUP($A33,'liste reference'!$B$7:$P$892,3,0)),VLOOKUP($A33,'liste reference'!$A$7:$P$892,4,0)),"")</f>
        <v>0</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Pellia endiviifolia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1197</v>
      </c>
      <c r="Q33" s="455" t="n">
        <f aca="false">IF(ISTEXT(H33),"",(B33*$B$7/100)+(C33*$C$7/100))</f>
        <v>0.005</v>
      </c>
      <c r="R33" s="456" t="n">
        <f aca="false">IF(OR(ISTEXT(H33),Q33=0),"",IF(Q33&lt;0.1,1,IF(Q33&lt;1,2,IF(Q33&lt;10,3,IF(Q33&lt;50,4,IF(Q33&gt;=50,5,""))))))</f>
        <v>1</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PELEND</v>
      </c>
      <c r="Z33" s="250" t="n">
        <f aca="false">IF(ISERROR(MATCH(A33,'liste reference'!$A$7:$A$892,0)),IF(ISERROR(MATCH(A33,'liste reference'!$B$7:$B$892,0)),"",(MATCH(A33,'liste reference'!$B$7:$B$892,0))),(MATCH(A33,'liste reference'!$A$7:$A$892,0)))</f>
        <v>559</v>
      </c>
      <c r="AA33" s="460"/>
      <c r="AB33" s="461"/>
      <c r="AC33" s="461"/>
      <c r="BC33" s="250" t="n">
        <f aca="false">IF(A33="","",1)</f>
        <v>1</v>
      </c>
    </row>
    <row r="34" customFormat="false" ht="12.75" hidden="false" customHeight="false" outlineLevel="0" collapsed="false">
      <c r="A34" s="462" t="s">
        <v>626</v>
      </c>
      <c r="B34" s="463"/>
      <c r="C34" s="464" t="n">
        <v>0.01</v>
      </c>
      <c r="D34" s="465" t="str">
        <f aca="false">IF(ISERROR(VLOOKUP($A34,'liste reference'!$A$7:$D$892,2,0)),IF(ISERROR(VLOOKUP($A34,'liste reference'!$B$7:$D$892,1,0)),"",VLOOKUP($A34,'liste reference'!$B$7:$D$892,1,0)),VLOOKUP($A34,'liste reference'!$A$7:$D$892,2,0))</f>
        <v>Cratoneuron commutatum</v>
      </c>
      <c r="E34" s="465" t="e">
        <f aca="false">IF(D34="",0,VLOOKUP(D34,D$22:D26,1,0))</f>
        <v>#N/A</v>
      </c>
      <c r="F34" s="472" t="n">
        <f aca="false">($B34*$B$7+$C34*$C$7)/100</f>
        <v>0.0044</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15</v>
      </c>
      <c r="J34" s="451" t="n">
        <f aca="false">IF(ISNUMBER(H34),IF(ISERROR(VLOOKUP($A34,'liste reference'!$A$7:$P$892,4,0)),IF(ISERROR(VLOOKUP($A34,'liste reference'!$B$7:$P$892,3,0)),"",VLOOKUP($A34,'liste reference'!$B$7:$P$892,3,0)),VLOOKUP($A34,'liste reference'!$A$7:$P$892,4,0)),"")</f>
        <v>2</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Cratoneuron commutatum</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1232</v>
      </c>
      <c r="Q34" s="455" t="n">
        <f aca="false">IF(ISTEXT(H34),"",(B34*$B$7/100)+(C34*$C$7/100))</f>
        <v>0.0044</v>
      </c>
      <c r="R34" s="456" t="n">
        <f aca="false">IF(OR(ISTEXT(H34),Q34=0),"",IF(Q34&lt;0.1,1,IF(Q34&lt;1,2,IF(Q34&lt;10,3,IF(Q34&lt;50,4,IF(Q34&gt;=50,5,""))))))</f>
        <v>1</v>
      </c>
      <c r="S34" s="456" t="n">
        <f aca="false">IF(ISERROR(R34*I34),0,R34*I34)</f>
        <v>15</v>
      </c>
      <c r="T34" s="456" t="n">
        <f aca="false">IF(ISERROR(R34*I34*J34),0,R34*I34*J34)</f>
        <v>30</v>
      </c>
      <c r="U34" s="470" t="n">
        <f aca="false">IF(ISERROR(R34*J34),0,R34*J34)</f>
        <v>2</v>
      </c>
      <c r="V34" s="457" t="n">
        <v>2</v>
      </c>
      <c r="W34" s="458"/>
      <c r="Y34" s="459" t="str">
        <f aca="false">IF(A34="new.cod","NEWCOD",IF(AND((Z34=""),ISTEXT(A34)),A34,IF(Z34="","",INDEX('liste reference'!$A$7:$A$892,Z34))))</f>
        <v>CRACOM</v>
      </c>
      <c r="Z34" s="250" t="n">
        <f aca="false">IF(ISERROR(MATCH(A34,'liste reference'!$A$7:$A$892,0)),IF(ISERROR(MATCH(A34,'liste reference'!$B$7:$B$892,0)),"",(MATCH(A34,'liste reference'!$B$7:$B$892,0))),(MATCH(A34,'liste reference'!$A$7:$A$892,0)))</f>
        <v>192</v>
      </c>
      <c r="AA34" s="460"/>
      <c r="AB34" s="461"/>
      <c r="AC34" s="461"/>
      <c r="BC34" s="250" t="n">
        <f aca="false">IF(A34="","",1)</f>
        <v>1</v>
      </c>
    </row>
    <row r="35" customFormat="false" ht="12.75" hidden="false" customHeight="false" outlineLevel="0" collapsed="false">
      <c r="A35" s="462" t="s">
        <v>687</v>
      </c>
      <c r="B35" s="463" t="n">
        <v>0.2</v>
      </c>
      <c r="C35" s="464"/>
      <c r="D35" s="465" t="str">
        <f aca="false">IF(ISERROR(VLOOKUP($A35,'liste reference'!$A$7:$D$892,2,0)),IF(ISERROR(VLOOKUP($A35,'liste reference'!$B$7:$D$892,1,0)),"",VLOOKUP($A35,'liste reference'!$B$7:$D$892,1,0)),VLOOKUP($A35,'liste reference'!$A$7:$D$892,2,0))</f>
        <v>Dichodontium flavescens</v>
      </c>
      <c r="E35" s="465" t="e">
        <f aca="false">IF(D35="",0,VLOOKUP(D35,D$22:D34,1,0))</f>
        <v>#N/A</v>
      </c>
      <c r="F35" s="472" t="n">
        <f aca="false">($B35*$B$7+$C35*$C$7)/100</f>
        <v>0.112</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Dichodontium flavescens</v>
      </c>
      <c r="L35" s="469"/>
      <c r="M35" s="469"/>
      <c r="N35" s="469"/>
      <c r="O35" s="454" t="str">
        <f aca="false">IF(AA35="Cf.","Cf.","")</f>
        <v>Cf.</v>
      </c>
      <c r="P35" s="454" t="n">
        <f aca="false">IF($A35="NEWCOD",IF($AC35="","No",$AC35),IF(ISTEXT($E35),"DEJA SAISI !",IF($A35="","",IF(ISERROR(VLOOKUP($A35,'liste reference'!A:S,19,FALSE())),IF(ISERROR(VLOOKUP($A35,'liste reference'!B:S,19,FALSE())),"",VLOOKUP($A35,'liste reference'!B:S,19,FALSE())),VLOOKUP($A35,'liste reference'!A:S,19,FALSE())))))</f>
        <v>1277</v>
      </c>
      <c r="Q35" s="455" t="n">
        <f aca="false">IF(ISTEXT(H35),"",(B35*$B$7/100)+(C35*$C$7/100))</f>
        <v>0.112</v>
      </c>
      <c r="R35" s="456" t="n">
        <f aca="false">IF(OR(ISTEXT(H35),Q35=0),"",IF(Q35&lt;0.1,1,IF(Q35&lt;1,2,IF(Q35&lt;10,3,IF(Q35&lt;50,4,IF(Q35&gt;=50,5,""))))))</f>
        <v>2</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DIHFLA</v>
      </c>
      <c r="Z35" s="250" t="n">
        <f aca="false">IF(ISERROR(MATCH(A35,'liste reference'!$A$7:$A$892,0)),IF(ISERROR(MATCH(A35,'liste reference'!$B$7:$B$892,0)),"",(MATCH(A35,'liste reference'!$B$7:$B$892,0))),(MATCH(A35,'liste reference'!$A$7:$A$892,0)))</f>
        <v>213</v>
      </c>
      <c r="AA35" s="460" t="s">
        <v>2684</v>
      </c>
      <c r="AB35" s="461"/>
      <c r="AC35" s="461"/>
      <c r="BC35" s="250" t="n">
        <f aca="false">IF(A35="","",1)</f>
        <v>1</v>
      </c>
    </row>
    <row r="36" customFormat="false" ht="12.75" hidden="false" customHeight="false" outlineLevel="0" collapsed="false">
      <c r="A36" s="462" t="s">
        <v>913</v>
      </c>
      <c r="B36" s="463" t="n">
        <v>0.1</v>
      </c>
      <c r="C36" s="464" t="n">
        <v>0.005</v>
      </c>
      <c r="D36" s="465" t="str">
        <f aca="false">IF(ISERROR(VLOOKUP($A36,'liste reference'!$A$7:$D$892,2,0)),IF(ISERROR(VLOOKUP($A36,'liste reference'!$B$7:$D$892,1,0)),"",VLOOKUP($A36,'liste reference'!$B$7:$D$892,1,0)),VLOOKUP($A36,'liste reference'!$A$7:$D$892,2,0))</f>
        <v>Fissidens crassipes</v>
      </c>
      <c r="E36" s="465" t="e">
        <f aca="false">IF(D36="",0,VLOOKUP(D36,D$22:D35,1,0))</f>
        <v>#N/A</v>
      </c>
      <c r="F36" s="472" t="n">
        <f aca="false">($B36*$B$7+$C36*$C$7)/100</f>
        <v>0.0582</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12</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Fissidens crassipes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1294</v>
      </c>
      <c r="Q36" s="455" t="n">
        <f aca="false">IF(ISTEXT(H36),"",(B36*$B$7/100)+(C36*$C$7/100))</f>
        <v>0.0582</v>
      </c>
      <c r="R36" s="456" t="n">
        <f aca="false">IF(OR(ISTEXT(H36),Q36=0),"",IF(Q36&lt;0.1,1,IF(Q36&lt;1,2,IF(Q36&lt;10,3,IF(Q36&lt;50,4,IF(Q36&gt;=50,5,""))))))</f>
        <v>1</v>
      </c>
      <c r="S36" s="456" t="n">
        <f aca="false">IF(ISERROR(R36*I36),0,R36*I36)</f>
        <v>12</v>
      </c>
      <c r="T36" s="456" t="n">
        <f aca="false">IF(ISERROR(R36*I36*J36),0,R36*I36*J36)</f>
        <v>24</v>
      </c>
      <c r="U36" s="470" t="n">
        <f aca="false">IF(ISERROR(R36*J36),0,R36*J36)</f>
        <v>2</v>
      </c>
      <c r="V36" s="457" t="n">
        <v>2</v>
      </c>
      <c r="W36" s="458"/>
      <c r="Y36" s="459" t="str">
        <f aca="false">IF(A36="new.cod","NEWCOD",IF(AND((Z36=""),ISTEXT(A36)),A36,IF(Z36="","",INDEX('liste reference'!$A$7:$A$892,Z36))))</f>
        <v>FISCRA</v>
      </c>
      <c r="Z36" s="250" t="n">
        <f aca="false">IF(ISERROR(MATCH(A36,'liste reference'!$A$7:$A$892,0)),IF(ISERROR(MATCH(A36,'liste reference'!$B$7:$B$892,0)),"",(MATCH(A36,'liste reference'!$B$7:$B$892,0))),(MATCH(A36,'liste reference'!$A$7:$A$892,0)))</f>
        <v>291</v>
      </c>
      <c r="AA36" s="460"/>
      <c r="AB36" s="461"/>
      <c r="AC36" s="461"/>
      <c r="BC36" s="250" t="n">
        <f aca="false">IF(A36="","",1)</f>
        <v>1</v>
      </c>
    </row>
    <row r="37" customFormat="false" ht="12.75" hidden="false" customHeight="false" outlineLevel="0" collapsed="false">
      <c r="A37" s="462" t="s">
        <v>959</v>
      </c>
      <c r="B37" s="463" t="n">
        <v>2</v>
      </c>
      <c r="C37" s="464" t="n">
        <v>2.6</v>
      </c>
      <c r="D37" s="465" t="str">
        <f aca="false">IF(ISERROR(VLOOKUP($A37,'liste reference'!$A$7:$D$892,2,0)),IF(ISERROR(VLOOKUP($A37,'liste reference'!$B$7:$D$892,1,0)),"",VLOOKUP($A37,'liste reference'!$B$7:$D$892,1,0)),VLOOKUP($A37,'liste reference'!$A$7:$D$892,2,0))</f>
        <v>Fontinalis antipyretica</v>
      </c>
      <c r="E37" s="465" t="e">
        <f aca="false">IF(D37="",0,VLOOKUP(D37,D$22:D36,1,0))</f>
        <v>#N/A</v>
      </c>
      <c r="F37" s="472" t="n">
        <f aca="false">($B37*$B$7+$C37*$C$7)/100</f>
        <v>2.264</v>
      </c>
      <c r="G37" s="467" t="str">
        <f aca="false">IF(A37="","",IF(ISERROR(VLOOKUP($A37,'liste reference'!$A$7:$P$892,13,0)),IF(ISERROR(VLOOKUP($A37,'liste reference'!$B$7:$P$892,12,0)),"    -",VLOOKUP($A37,'liste reference'!$B$7:$P$892,12,0)),VLOOKUP($A37,'liste reference'!$A$7:$P$892,13,0)))</f>
        <v>BRm</v>
      </c>
      <c r="H37" s="449" t="n">
        <f aca="false">IF(A37="","x",IF(ISERROR(VLOOKUP($A37,'liste reference'!$A$7:$P$892,14,0)),IF(ISERROR(VLOOKUP($A37,'liste reference'!$B$7:$P$892,13,0)),"x",VLOOKUP($A37,'liste reference'!$B$7:$P$892,13,0)),VLOOKUP($A37,'liste reference'!$A$7:$P$892,14,0)))</f>
        <v>5</v>
      </c>
      <c r="I37" s="468" t="n">
        <f aca="false">IF(ISNUMBER(H37),IF(ISERROR(VLOOKUP($A37,'liste reference'!$A$7:$P$892,3,0)),IF(ISERROR(VLOOKUP($A37,'liste reference'!$B$7:$P$892,2,0)),"",VLOOKUP($A37,'liste reference'!$B$7:$P$892,2,0)),VLOOKUP($A37,'liste reference'!$A$7:$P$892,3,0)),"")</f>
        <v>10</v>
      </c>
      <c r="J37" s="451" t="n">
        <f aca="false">IF(ISNUMBER(H37),IF(ISERROR(VLOOKUP($A37,'liste reference'!$A$7:$P$892,4,0)),IF(ISERROR(VLOOKUP($A37,'liste reference'!$B$7:$P$892,3,0)),"",VLOOKUP($A37,'liste reference'!$B$7:$P$892,3,0)),VLOOKUP($A37,'liste reference'!$A$7:$P$892,4,0)),"")</f>
        <v>1</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Fontinalis antipyretica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131</v>
      </c>
      <c r="Q37" s="455" t="n">
        <f aca="false">IF(ISTEXT(H37),"",(B37*$B$7/100)+(C37*$C$7/100))</f>
        <v>2.264</v>
      </c>
      <c r="R37" s="456" t="n">
        <f aca="false">IF(OR(ISTEXT(H37),Q37=0),"",IF(Q37&lt;0.1,1,IF(Q37&lt;1,2,IF(Q37&lt;10,3,IF(Q37&lt;50,4,IF(Q37&gt;=50,5,""))))))</f>
        <v>3</v>
      </c>
      <c r="S37" s="456" t="n">
        <f aca="false">IF(ISERROR(R37*I37),0,R37*I37)</f>
        <v>30</v>
      </c>
      <c r="T37" s="456" t="n">
        <f aca="false">IF(ISERROR(R37*I37*J37),0,R37*I37*J37)</f>
        <v>30</v>
      </c>
      <c r="U37" s="470" t="n">
        <f aca="false">IF(ISERROR(R37*J37),0,R37*J37)</f>
        <v>3</v>
      </c>
      <c r="V37" s="457" t="n">
        <v>3</v>
      </c>
      <c r="W37" s="458"/>
      <c r="Y37" s="459" t="str">
        <f aca="false">IF(A37="new.cod","NEWCOD",IF(AND((Z37=""),ISTEXT(A37)),A37,IF(Z37="","",INDEX('liste reference'!$A$7:$A$892,Z37))))</f>
        <v>FONANT</v>
      </c>
      <c r="Z37" s="250" t="n">
        <f aca="false">IF(ISERROR(MATCH(A37,'liste reference'!$A$7:$A$892,0)),IF(ISERROR(MATCH(A37,'liste reference'!$B$7:$B$892,0)),"",(MATCH(A37,'liste reference'!$B$7:$B$892,0))),(MATCH(A37,'liste reference'!$A$7:$A$892,0)))</f>
        <v>304</v>
      </c>
      <c r="AA37" s="460"/>
      <c r="AB37" s="461"/>
      <c r="AC37" s="461"/>
      <c r="BC37" s="250" t="n">
        <f aca="false">IF(A37="","",1)</f>
        <v>1</v>
      </c>
    </row>
    <row r="38" customFormat="false" ht="12.75" hidden="false" customHeight="false" outlineLevel="0" collapsed="false">
      <c r="A38" s="462" t="s">
        <v>839</v>
      </c>
      <c r="B38" s="463" t="n">
        <v>0.005</v>
      </c>
      <c r="C38" s="464"/>
      <c r="D38" s="465" t="str">
        <f aca="false">IF(ISERROR(VLOOKUP($A38,'liste reference'!$A$7:$D$892,2,0)),IF(ISERROR(VLOOKUP($A38,'liste reference'!$B$7:$D$892,1,0)),"",VLOOKUP($A38,'liste reference'!$B$7:$D$892,1,0)),VLOOKUP($A38,'liste reference'!$A$7:$D$892,2,0))</f>
        <v>Equisetum arvense</v>
      </c>
      <c r="E38" s="465" t="e">
        <f aca="false">IF(D38="",0,VLOOKUP(D38,D$22:D37,1,0))</f>
        <v>#N/A</v>
      </c>
      <c r="F38" s="472" t="n">
        <f aca="false">($B38*$B$7+$C38*$C$7)/100</f>
        <v>0.0028</v>
      </c>
      <c r="G38" s="467" t="str">
        <f aca="false">IF(A38="","",IF(ISERROR(VLOOKUP($A38,'liste reference'!$A$7:$P$892,13,0)),IF(ISERROR(VLOOKUP($A38,'liste reference'!$B$7:$P$892,12,0)),"    -",VLOOKUP($A38,'liste reference'!$B$7:$P$892,12,0)),VLOOKUP($A38,'liste reference'!$A$7:$P$892,13,0)))</f>
        <v>PTE</v>
      </c>
      <c r="H38" s="449" t="n">
        <f aca="false">IF(A38="","x",IF(ISERROR(VLOOKUP($A38,'liste reference'!$A$7:$P$892,14,0)),IF(ISERROR(VLOOKUP($A38,'liste reference'!$B$7:$P$892,13,0)),"x",VLOOKUP($A38,'liste reference'!$B$7:$P$892,13,0)),VLOOKUP($A38,'liste reference'!$A$7:$P$892,14,0)))</f>
        <v>6</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Equisetum arvense</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1384</v>
      </c>
      <c r="Q38" s="455" t="n">
        <f aca="false">IF(ISTEXT(H38),"",(B38*$B$7/100)+(C38*$C$7/100))</f>
        <v>0.0028</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EQUARV</v>
      </c>
      <c r="Z38" s="250" t="n">
        <f aca="false">IF(ISERROR(MATCH(A38,'liste reference'!$A$7:$A$892,0)),IF(ISERROR(MATCH(A38,'liste reference'!$B$7:$B$892,0)),"",(MATCH(A38,'liste reference'!$B$7:$B$892,0))),(MATCH(A38,'liste reference'!$A$7:$A$892,0)))</f>
        <v>266</v>
      </c>
      <c r="AA38" s="460"/>
      <c r="AB38" s="461"/>
      <c r="AC38" s="461"/>
      <c r="BC38" s="250" t="n">
        <f aca="false">IF(A38="","",1)</f>
        <v>1</v>
      </c>
    </row>
    <row r="39" customFormat="false" ht="12.75" hidden="false" customHeight="false" outlineLevel="0" collapsed="false">
      <c r="A39" s="462" t="s">
        <v>160</v>
      </c>
      <c r="B39" s="463"/>
      <c r="C39" s="464" t="n">
        <v>0.005</v>
      </c>
      <c r="D39" s="465" t="str">
        <f aca="false">IF(ISERROR(VLOOKUP($A39,'liste reference'!$A$7:$D$892,2,0)),IF(ISERROR(VLOOKUP($A39,'liste reference'!$B$7:$D$892,1,0)),"",VLOOKUP($A39,'liste reference'!$B$7:$D$892,1,0)),VLOOKUP($A39,'liste reference'!$A$7:$D$892,2,0))</f>
        <v>Apium nodiflorum</v>
      </c>
      <c r="E39" s="465" t="e">
        <f aca="false">IF(D39="",0,VLOOKUP(D39,D$22:D31,1,0))</f>
        <v>#N/A</v>
      </c>
      <c r="F39" s="472" t="n">
        <f aca="false">($B39*$B$7+$C39*$C$7)/100</f>
        <v>0.0022</v>
      </c>
      <c r="G39" s="467" t="str">
        <f aca="false">IF(A39="","",IF(ISERROR(VLOOKUP($A39,'liste reference'!$A$7:$P$892,13,0)),IF(ISERROR(VLOOKUP($A39,'liste reference'!$B$7:$P$892,12,0)),"    -",VLOOKUP($A39,'liste reference'!$B$7:$P$892,12,0)),VLOOKUP($A39,'liste reference'!$A$7:$P$892,13,0)))</f>
        <v>PHy</v>
      </c>
      <c r="H39" s="449" t="n">
        <f aca="false">IF(A39="","x",IF(ISERROR(VLOOKUP($A39,'liste reference'!$A$7:$P$892,14,0)),IF(ISERROR(VLOOKUP($A39,'liste reference'!$B$7:$P$892,13,0)),"x",VLOOKUP($A39,'liste reference'!$B$7:$P$892,13,0)),VLOOKUP($A39,'liste reference'!$A$7:$P$892,14,0)))</f>
        <v>7</v>
      </c>
      <c r="I39" s="468" t="n">
        <f aca="false">IF(ISNUMBER(H39),IF(ISERROR(VLOOKUP($A39,'liste reference'!$A$7:$P$892,3,0)),IF(ISERROR(VLOOKUP($A39,'liste reference'!$B$7:$P$892,2,0)),"",VLOOKUP($A39,'liste reference'!$B$7:$P$892,2,0)),VLOOKUP($A39,'liste reference'!$A$7:$P$892,3,0)),"")</f>
        <v>10</v>
      </c>
      <c r="J39" s="451" t="n">
        <f aca="false">IF(ISNUMBER(H39),IF(ISERROR(VLOOKUP($A39,'liste reference'!$A$7:$P$892,4,0)),IF(ISERROR(VLOOKUP($A39,'liste reference'!$B$7:$P$892,3,0)),"",VLOOKUP($A39,'liste reference'!$B$7:$P$892,3,0)),VLOOKUP($A39,'liste reference'!$A$7:$P$892,4,0)),"")</f>
        <v>1</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Apium nodiflorum</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1974</v>
      </c>
      <c r="Q39" s="455" t="n">
        <f aca="false">IF(ISTEXT(H39),"",(B39*$B$7/100)+(C39*$C$7/100))</f>
        <v>0.0022</v>
      </c>
      <c r="R39" s="456" t="n">
        <f aca="false">IF(OR(ISTEXT(H39),Q39=0),"",IF(Q39&lt;0.1,1,IF(Q39&lt;1,2,IF(Q39&lt;10,3,IF(Q39&lt;50,4,IF(Q39&gt;=50,5,""))))))</f>
        <v>1</v>
      </c>
      <c r="S39" s="456" t="n">
        <f aca="false">IF(ISERROR(R39*I39),0,R39*I39)</f>
        <v>10</v>
      </c>
      <c r="T39" s="456" t="n">
        <f aca="false">IF(ISERROR(R39*I39*J39),0,R39*I39*J39)</f>
        <v>10</v>
      </c>
      <c r="U39" s="470" t="n">
        <f aca="false">IF(ISERROR(R39*J39),0,R39*J39)</f>
        <v>1</v>
      </c>
      <c r="V39" s="457" t="n">
        <v>1</v>
      </c>
      <c r="W39" s="458"/>
      <c r="Y39" s="459" t="str">
        <f aca="false">IF(A39="new.cod","NEWCOD",IF(AND((Z39=""),ISTEXT(A39)),A39,IF(Z39="","",INDEX('liste reference'!$A$7:$A$892,Z39))))</f>
        <v>APINOD</v>
      </c>
      <c r="Z39" s="250" t="n">
        <f aca="false">IF(ISERROR(MATCH(A39,'liste reference'!$A$7:$A$892,0)),IF(ISERROR(MATCH(A39,'liste reference'!$B$7:$B$892,0)),"",(MATCH(A39,'liste reference'!$B$7:$B$892,0))),(MATCH(A39,'liste reference'!$A$7:$A$892,0)))</f>
        <v>34</v>
      </c>
      <c r="AA39" s="460"/>
      <c r="AB39" s="461"/>
      <c r="AC39" s="461"/>
      <c r="BC39" s="250" t="n">
        <f aca="false">IF(A39="","",1)</f>
        <v>1</v>
      </c>
    </row>
    <row r="40" customFormat="false" ht="12.75" hidden="false" customHeight="false" outlineLevel="0" collapsed="false">
      <c r="A40" s="462" t="s">
        <v>1026</v>
      </c>
      <c r="B40" s="463" t="n">
        <v>0.1</v>
      </c>
      <c r="C40" s="464" t="n">
        <v>0.2</v>
      </c>
      <c r="D40" s="465" t="str">
        <f aca="false">IF(ISERROR(VLOOKUP($A40,'liste reference'!$A$7:$D$892,2,0)),IF(ISERROR(VLOOKUP($A40,'liste reference'!$B$7:$D$892,1,0)),"",VLOOKUP($A40,'liste reference'!$B$7:$D$892,1,0)),VLOOKUP($A40,'liste reference'!$A$7:$D$892,2,0))</f>
        <v>Groenlandia densa</v>
      </c>
      <c r="E40" s="465" t="e">
        <f aca="false">IF(D40="",0,VLOOKUP(D40,D$22:D39,1,0))</f>
        <v>#N/A</v>
      </c>
      <c r="F40" s="472" t="n">
        <f aca="false">($B40*$B$7+$C40*$C$7)/100</f>
        <v>0.144</v>
      </c>
      <c r="G40" s="467" t="str">
        <f aca="false">IF(A40="","",IF(ISERROR(VLOOKUP($A40,'liste reference'!$A$7:$P$892,13,0)),IF(ISERROR(VLOOKUP($A40,'liste reference'!$B$7:$P$892,12,0)),"    -",VLOOKUP($A40,'liste reference'!$B$7:$P$892,12,0)),VLOOKUP($A40,'liste reference'!$A$7:$P$892,13,0)))</f>
        <v>PHy</v>
      </c>
      <c r="H40" s="449" t="n">
        <f aca="false">IF(A40="","x",IF(ISERROR(VLOOKUP($A40,'liste reference'!$A$7:$P$892,14,0)),IF(ISERROR(VLOOKUP($A40,'liste reference'!$B$7:$P$892,13,0)),"x",VLOOKUP($A40,'liste reference'!$B$7:$P$892,13,0)),VLOOKUP($A40,'liste reference'!$A$7:$P$892,14,0)))</f>
        <v>7</v>
      </c>
      <c r="I40" s="468" t="n">
        <f aca="false">IF(ISNUMBER(H40),IF(ISERROR(VLOOKUP($A40,'liste reference'!$A$7:$P$892,3,0)),IF(ISERROR(VLOOKUP($A40,'liste reference'!$B$7:$P$892,2,0)),"",VLOOKUP($A40,'liste reference'!$B$7:$P$892,2,0)),VLOOKUP($A40,'liste reference'!$A$7:$P$892,3,0)),"")</f>
        <v>11</v>
      </c>
      <c r="J40" s="451" t="n">
        <f aca="false">IF(ISNUMBER(H40),IF(ISERROR(VLOOKUP($A40,'liste reference'!$A$7:$P$892,4,0)),IF(ISERROR(VLOOKUP($A40,'liste reference'!$B$7:$P$892,3,0)),"",VLOOKUP($A40,'liste reference'!$B$7:$P$892,3,0)),VLOOKUP($A40,'liste reference'!$A$7:$P$892,4,0)),"")</f>
        <v>2</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Groenlandia densa</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1638</v>
      </c>
      <c r="Q40" s="455" t="n">
        <f aca="false">IF(ISTEXT(H40),"",(B40*$B$7/100)+(C40*$C$7/100))</f>
        <v>0.144</v>
      </c>
      <c r="R40" s="456" t="n">
        <f aca="false">IF(OR(ISTEXT(H40),Q40=0),"",IF(Q40&lt;0.1,1,IF(Q40&lt;1,2,IF(Q40&lt;10,3,IF(Q40&lt;50,4,IF(Q40&gt;=50,5,""))))))</f>
        <v>2</v>
      </c>
      <c r="S40" s="456" t="n">
        <f aca="false">IF(ISERROR(R40*I40),0,R40*I40)</f>
        <v>22</v>
      </c>
      <c r="T40" s="456" t="n">
        <f aca="false">IF(ISERROR(R40*I40*J40),0,R40*I40*J40)</f>
        <v>44</v>
      </c>
      <c r="U40" s="470" t="n">
        <f aca="false">IF(ISERROR(R40*J40),0,R40*J40)</f>
        <v>4</v>
      </c>
      <c r="V40" s="457" t="n">
        <v>4</v>
      </c>
      <c r="W40" s="458"/>
      <c r="Y40" s="459" t="str">
        <f aca="false">IF(A40="new.cod","NEWCOD",IF(AND((Z40=""),ISTEXT(A40)),A40,IF(Z40="","",INDEX('liste reference'!$A$7:$A$892,Z40))))</f>
        <v>GRODEN</v>
      </c>
      <c r="Z40" s="250" t="n">
        <f aca="false">IF(ISERROR(MATCH(A40,'liste reference'!$A$7:$A$892,0)),IF(ISERROR(MATCH(A40,'liste reference'!$B$7:$B$892,0)),"",(MATCH(A40,'liste reference'!$B$7:$B$892,0))),(MATCH(A40,'liste reference'!$A$7:$A$892,0)))</f>
        <v>328</v>
      </c>
      <c r="AA40" s="460"/>
      <c r="AB40" s="461"/>
      <c r="AC40" s="461"/>
      <c r="BC40" s="250" t="n">
        <f aca="false">IF(A40="","",1)</f>
        <v>1</v>
      </c>
    </row>
    <row r="41" customFormat="false" ht="12.75" hidden="false" customHeight="false" outlineLevel="0" collapsed="false">
      <c r="A41" s="462" t="s">
        <v>1854</v>
      </c>
      <c r="B41" s="463"/>
      <c r="C41" s="464" t="n">
        <v>1.5</v>
      </c>
      <c r="D41" s="465" t="str">
        <f aca="false">IF(ISERROR(VLOOKUP($A41,'liste reference'!$A$7:$D$892,2,0)),IF(ISERROR(VLOOKUP($A41,'liste reference'!$B$7:$D$892,1,0)),"",VLOOKUP($A41,'liste reference'!$B$7:$D$892,1,0)),VLOOKUP($A41,'liste reference'!$A$7:$D$892,2,0))</f>
        <v>Potamogeton crispus</v>
      </c>
      <c r="E41" s="465" t="e">
        <f aca="false">IF(D41="",0,VLOOKUP(D41,D$22:D40,1,0))</f>
        <v>#N/A</v>
      </c>
      <c r="F41" s="472" t="n">
        <f aca="false">($B41*$B$7+$C41*$C$7)/100</f>
        <v>0.66</v>
      </c>
      <c r="G41" s="467" t="str">
        <f aca="false">IF(A41="","",IF(ISERROR(VLOOKUP($A41,'liste reference'!$A$7:$P$892,13,0)),IF(ISERROR(VLOOKUP($A41,'liste reference'!$B$7:$P$892,12,0)),"    -",VLOOKUP($A41,'liste reference'!$B$7:$P$892,12,0)),VLOOKUP($A41,'liste reference'!$A$7:$P$892,13,0)))</f>
        <v>PHy</v>
      </c>
      <c r="H41" s="449" t="n">
        <f aca="false">IF(A41="","x",IF(ISERROR(VLOOKUP($A41,'liste reference'!$A$7:$P$892,14,0)),IF(ISERROR(VLOOKUP($A41,'liste reference'!$B$7:$P$892,13,0)),"x",VLOOKUP($A41,'liste reference'!$B$7:$P$892,13,0)),VLOOKUP($A41,'liste reference'!$A$7:$P$892,14,0)))</f>
        <v>7</v>
      </c>
      <c r="I41" s="468" t="n">
        <f aca="false">IF(ISNUMBER(H41),IF(ISERROR(VLOOKUP($A41,'liste reference'!$A$7:$P$892,3,0)),IF(ISERROR(VLOOKUP($A41,'liste reference'!$B$7:$P$892,2,0)),"",VLOOKUP($A41,'liste reference'!$B$7:$P$892,2,0)),VLOOKUP($A41,'liste reference'!$A$7:$P$892,3,0)),"")</f>
        <v>7</v>
      </c>
      <c r="J41" s="451" t="n">
        <f aca="false">IF(ISNUMBER(H41),IF(ISERROR(VLOOKUP($A41,'liste reference'!$A$7:$P$892,4,0)),IF(ISERROR(VLOOKUP($A41,'liste reference'!$B$7:$P$892,3,0)),"",VLOOKUP($A41,'liste reference'!$B$7:$P$892,3,0)),VLOOKUP($A41,'liste reference'!$A$7:$P$892,4,0)),"")</f>
        <v>2</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Potamogeton crispus</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1645</v>
      </c>
      <c r="Q41" s="455" t="n">
        <f aca="false">IF(ISTEXT(H41),"",(B41*$B$7/100)+(C41*$C$7/100))</f>
        <v>0.66</v>
      </c>
      <c r="R41" s="456" t="n">
        <f aca="false">IF(OR(ISTEXT(H41),Q41=0),"",IF(Q41&lt;0.1,1,IF(Q41&lt;1,2,IF(Q41&lt;10,3,IF(Q41&lt;50,4,IF(Q41&gt;=50,5,""))))))</f>
        <v>2</v>
      </c>
      <c r="S41" s="456" t="n">
        <f aca="false">IF(ISERROR(R41*I41),0,R41*I41)</f>
        <v>14</v>
      </c>
      <c r="T41" s="456" t="n">
        <f aca="false">IF(ISERROR(R41*I41*J41),0,R41*I41*J41)</f>
        <v>28</v>
      </c>
      <c r="U41" s="470" t="n">
        <f aca="false">IF(ISERROR(R41*J41),0,R41*J41)</f>
        <v>4</v>
      </c>
      <c r="V41" s="457" t="n">
        <v>4</v>
      </c>
      <c r="W41" s="458"/>
      <c r="Y41" s="459" t="str">
        <f aca="false">IF(A41="new.cod","NEWCOD",IF(AND((Z41=""),ISTEXT(A41)),A41,IF(Z41="","",INDEX('liste reference'!$A$7:$A$892,Z41))))</f>
        <v>POTCRI</v>
      </c>
      <c r="Z41" s="250" t="n">
        <f aca="false">IF(ISERROR(MATCH(A41,'liste reference'!$A$7:$A$892,0)),IF(ISERROR(MATCH(A41,'liste reference'!$B$7:$B$892,0)),"",(MATCH(A41,'liste reference'!$B$7:$B$892,0))),(MATCH(A41,'liste reference'!$A$7:$A$892,0)))</f>
        <v>619</v>
      </c>
      <c r="AA41" s="460"/>
      <c r="AB41" s="461"/>
      <c r="AC41" s="461"/>
      <c r="BC41" s="250" t="n">
        <f aca="false">IF(A41="","",1)</f>
        <v>1</v>
      </c>
    </row>
    <row r="42" customFormat="false" ht="12.75" hidden="false" customHeight="false" outlineLevel="0" collapsed="false">
      <c r="A42" s="462" t="s">
        <v>1889</v>
      </c>
      <c r="B42" s="463" t="n">
        <v>0.01</v>
      </c>
      <c r="C42" s="464" t="n">
        <v>6.5</v>
      </c>
      <c r="D42" s="465" t="str">
        <f aca="false">IF(ISERROR(VLOOKUP($A42,'liste reference'!$A$7:$D$892,2,0)),IF(ISERROR(VLOOKUP($A42,'liste reference'!$B$7:$D$892,1,0)),"",VLOOKUP($A42,'liste reference'!$B$7:$D$892,1,0)),VLOOKUP($A42,'liste reference'!$A$7:$D$892,2,0))</f>
        <v>Potamogeton nodosus</v>
      </c>
      <c r="E42" s="465" t="e">
        <f aca="false">IF(D42="",0,VLOOKUP(D42,D$22:D41,1,0))</f>
        <v>#N/A</v>
      </c>
      <c r="F42" s="472" t="n">
        <f aca="false">($B42*$B$7+$C42*$C$7)/100</f>
        <v>2.8656</v>
      </c>
      <c r="G42" s="467" t="str">
        <f aca="false">IF(A42="","",IF(ISERROR(VLOOKUP($A42,'liste reference'!$A$7:$P$892,13,0)),IF(ISERROR(VLOOKUP($A42,'liste reference'!$B$7:$P$892,12,0)),"    -",VLOOKUP($A42,'liste reference'!$B$7:$P$892,12,0)),VLOOKUP($A42,'liste reference'!$A$7:$P$892,13,0)))</f>
        <v>PHy</v>
      </c>
      <c r="H42" s="449" t="n">
        <f aca="false">IF(A42="","x",IF(ISERROR(VLOOKUP($A42,'liste reference'!$A$7:$P$892,14,0)),IF(ISERROR(VLOOKUP($A42,'liste reference'!$B$7:$P$892,13,0)),"x",VLOOKUP($A42,'liste reference'!$B$7:$P$892,13,0)),VLOOKUP($A42,'liste reference'!$A$7:$P$892,14,0)))</f>
        <v>7</v>
      </c>
      <c r="I42" s="468" t="n">
        <f aca="false">IF(ISNUMBER(H42),IF(ISERROR(VLOOKUP($A42,'liste reference'!$A$7:$P$892,3,0)),IF(ISERROR(VLOOKUP($A42,'liste reference'!$B$7:$P$892,2,0)),"",VLOOKUP($A42,'liste reference'!$B$7:$P$892,2,0)),VLOOKUP($A42,'liste reference'!$A$7:$P$892,3,0)),"")</f>
        <v>4</v>
      </c>
      <c r="J42" s="451" t="n">
        <f aca="false">IF(ISNUMBER(H42),IF(ISERROR(VLOOKUP($A42,'liste reference'!$A$7:$P$892,4,0)),IF(ISERROR(VLOOKUP($A42,'liste reference'!$B$7:$P$892,3,0)),"",VLOOKUP($A42,'liste reference'!$B$7:$P$892,3,0)),VLOOKUP($A42,'liste reference'!$A$7:$P$892,4,0)),"")</f>
        <v>3</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Potamogeton nodosus</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1652</v>
      </c>
      <c r="Q42" s="455" t="n">
        <f aca="false">IF(ISTEXT(H42),"",(B42*$B$7/100)+(C42*$C$7/100))</f>
        <v>2.8656</v>
      </c>
      <c r="R42" s="456" t="n">
        <f aca="false">IF(OR(ISTEXT(H42),Q42=0),"",IF(Q42&lt;0.1,1,IF(Q42&lt;1,2,IF(Q42&lt;10,3,IF(Q42&lt;50,4,IF(Q42&gt;=50,5,""))))))</f>
        <v>3</v>
      </c>
      <c r="S42" s="456" t="n">
        <f aca="false">IF(ISERROR(R42*I42),0,R42*I42)</f>
        <v>12</v>
      </c>
      <c r="T42" s="456" t="n">
        <f aca="false">IF(ISERROR(R42*I42*J42),0,R42*I42*J42)</f>
        <v>36</v>
      </c>
      <c r="U42" s="470" t="n">
        <f aca="false">IF(ISERROR(R42*J42),0,R42*J42)</f>
        <v>9</v>
      </c>
      <c r="V42" s="457" t="n">
        <v>9</v>
      </c>
      <c r="W42" s="458"/>
      <c r="Y42" s="459" t="str">
        <f aca="false">IF(A42="new.cod","NEWCOD",IF(AND((Z42=""),ISTEXT(A42)),A42,IF(Z42="","",INDEX('liste reference'!$A$7:$A$892,Z42))))</f>
        <v>POTNOD</v>
      </c>
      <c r="Z42" s="250" t="n">
        <f aca="false">IF(ISERROR(MATCH(A42,'liste reference'!$A$7:$A$892,0)),IF(ISERROR(MATCH(A42,'liste reference'!$B$7:$B$892,0)),"",(MATCH(A42,'liste reference'!$B$7:$B$892,0))),(MATCH(A42,'liste reference'!$A$7:$A$892,0)))</f>
        <v>634</v>
      </c>
      <c r="AA42" s="460"/>
      <c r="AB42" s="461"/>
      <c r="AC42" s="461"/>
      <c r="BC42" s="250" t="n">
        <f aca="false">IF(A42="","",1)</f>
        <v>1</v>
      </c>
    </row>
    <row r="43" customFormat="false" ht="12.75" hidden="false" customHeight="false" outlineLevel="0" collapsed="false">
      <c r="A43" s="462" t="s">
        <v>2055</v>
      </c>
      <c r="B43" s="463"/>
      <c r="C43" s="464" t="n">
        <v>0.5</v>
      </c>
      <c r="D43" s="465" t="str">
        <f aca="false">IF(ISERROR(VLOOKUP($A43,'liste reference'!$A$7:$D$892,2,0)),IF(ISERROR(VLOOKUP($A43,'liste reference'!$B$7:$D$892,1,0)),"",VLOOKUP($A43,'liste reference'!$B$7:$D$892,1,0)),VLOOKUP($A43,'liste reference'!$A$7:$D$892,2,0))</f>
        <v>Ranunculus sp.</v>
      </c>
      <c r="E43" s="465" t="e">
        <f aca="false">IF(D43="",0,VLOOKUP(D43,D$22:D42,1,0))</f>
        <v>#N/A</v>
      </c>
      <c r="F43" s="472" t="n">
        <f aca="false">($B43*$B$7+$C43*$C$7)/100</f>
        <v>0.22</v>
      </c>
      <c r="G43" s="467" t="str">
        <f aca="false">IF(A43="","",IF(ISERROR(VLOOKUP($A43,'liste reference'!$A$7:$P$892,13,0)),IF(ISERROR(VLOOKUP($A43,'liste reference'!$B$7:$P$892,12,0)),"    -",VLOOKUP($A43,'liste reference'!$B$7:$P$892,12,0)),VLOOKUP($A43,'liste reference'!$A$7:$P$892,13,0)))</f>
        <v>PHy</v>
      </c>
      <c r="H43" s="449" t="n">
        <f aca="false">IF(A43="","x",IF(ISERROR(VLOOKUP($A43,'liste reference'!$A$7:$P$892,14,0)),IF(ISERROR(VLOOKUP($A43,'liste reference'!$B$7:$P$892,13,0)),"x",VLOOKUP($A43,'liste reference'!$B$7:$P$892,13,0)),VLOOKUP($A43,'liste reference'!$A$7:$P$892,14,0)))</f>
        <v>7</v>
      </c>
      <c r="I43" s="468" t="n">
        <f aca="false">IF(ISNUMBER(H43),IF(ISERROR(VLOOKUP($A43,'liste reference'!$A$7:$P$892,3,0)),IF(ISERROR(VLOOKUP($A43,'liste reference'!$B$7:$P$892,2,0)),"",VLOOKUP($A43,'liste reference'!$B$7:$P$892,2,0)),VLOOKUP($A43,'liste reference'!$A$7:$P$892,3,0)),"")</f>
        <v>0</v>
      </c>
      <c r="J43" s="451" t="n">
        <f aca="false">IF(ISNUMBER(H43),IF(ISERROR(VLOOKUP($A43,'liste reference'!$A$7:$P$892,4,0)),IF(ISERROR(VLOOKUP($A43,'liste reference'!$B$7:$P$892,3,0)),"",VLOOKUP($A43,'liste reference'!$B$7:$P$892,3,0)),VLOOKUP($A43,'liste reference'!$A$7:$P$892,4,0)),"")</f>
        <v>0</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Ranunculus sp.</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1896</v>
      </c>
      <c r="Q43" s="455" t="n">
        <f aca="false">IF(ISTEXT(H43),"",(B43*$B$7/100)+(C43*$C$7/100))</f>
        <v>0.22</v>
      </c>
      <c r="R43" s="456" t="n">
        <f aca="false">IF(OR(ISTEXT(H43),Q43=0),"",IF(Q43&lt;0.1,1,IF(Q43&lt;1,2,IF(Q43&lt;10,3,IF(Q43&lt;50,4,IF(Q43&gt;=50,5,""))))))</f>
        <v>2</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RANSPX</v>
      </c>
      <c r="Z43" s="250" t="n">
        <f aca="false">IF(ISERROR(MATCH(A43,'liste reference'!$A$7:$A$892,0)),IF(ISERROR(MATCH(A43,'liste reference'!$B$7:$B$892,0)),"",(MATCH(A43,'liste reference'!$B$7:$B$892,0))),(MATCH(A43,'liste reference'!$A$7:$A$892,0)))</f>
        <v>697</v>
      </c>
      <c r="AA43" s="460"/>
      <c r="AB43" s="461"/>
      <c r="AC43" s="461"/>
      <c r="BC43" s="250" t="n">
        <f aca="false">IF(A43="","",1)</f>
        <v>1</v>
      </c>
    </row>
    <row r="44" customFormat="false" ht="12.75" hidden="false" customHeight="false" outlineLevel="0" collapsed="false">
      <c r="A44" s="462" t="s">
        <v>2331</v>
      </c>
      <c r="B44" s="463"/>
      <c r="C44" s="464" t="n">
        <v>0.005</v>
      </c>
      <c r="D44" s="465" t="str">
        <f aca="false">IF(ISERROR(VLOOKUP($A44,'liste reference'!$A$7:$D$892,2,0)),IF(ISERROR(VLOOKUP($A44,'liste reference'!$B$7:$D$892,1,0)),"",VLOOKUP($A44,'liste reference'!$B$7:$D$892,1,0)),VLOOKUP($A44,'liste reference'!$A$7:$D$892,2,0))</f>
        <v>Sparganium emersum fo. longifolium</v>
      </c>
      <c r="E44" s="465" t="e">
        <f aca="false">IF(D44="",0,VLOOKUP(D44,D$22:D43,1,0))</f>
        <v>#N/A</v>
      </c>
      <c r="F44" s="472" t="n">
        <f aca="false">($B44*$B$7+$C44*$C$7)/100</f>
        <v>0.0022</v>
      </c>
      <c r="G44" s="467" t="str">
        <f aca="false">IF(A44="","",IF(ISERROR(VLOOKUP($A44,'liste reference'!$A$7:$P$892,13,0)),IF(ISERROR(VLOOKUP($A44,'liste reference'!$B$7:$P$892,12,0)),"    -",VLOOKUP($A44,'liste reference'!$B$7:$P$892,12,0)),VLOOKUP($A44,'liste reference'!$A$7:$P$892,13,0)))</f>
        <v>PHy</v>
      </c>
      <c r="H44" s="449" t="n">
        <f aca="false">IF(A44="","x",IF(ISERROR(VLOOKUP($A44,'liste reference'!$A$7:$P$892,14,0)),IF(ISERROR(VLOOKUP($A44,'liste reference'!$B$7:$P$892,13,0)),"x",VLOOKUP($A44,'liste reference'!$B$7:$P$892,13,0)),VLOOKUP($A44,'liste reference'!$A$7:$P$892,14,0)))</f>
        <v>7</v>
      </c>
      <c r="I44" s="468" t="n">
        <f aca="false">IF(ISNUMBER(H44),IF(ISERROR(VLOOKUP($A44,'liste reference'!$A$7:$P$892,3,0)),IF(ISERROR(VLOOKUP($A44,'liste reference'!$B$7:$P$892,2,0)),"",VLOOKUP($A44,'liste reference'!$B$7:$P$892,2,0)),VLOOKUP($A44,'liste reference'!$A$7:$P$892,3,0)),"")</f>
        <v>7</v>
      </c>
      <c r="J44" s="451" t="n">
        <f aca="false">IF(ISNUMBER(H44),IF(ISERROR(VLOOKUP($A44,'liste reference'!$A$7:$P$892,4,0)),IF(ISERROR(VLOOKUP($A44,'liste reference'!$B$7:$P$892,3,0)),"",VLOOKUP($A44,'liste reference'!$B$7:$P$892,3,0)),VLOOKUP($A44,'liste reference'!$A$7:$P$892,4,0)),"")</f>
        <v>1</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Sparganium emersum fo. longifolium</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19695</v>
      </c>
      <c r="Q44" s="455" t="n">
        <f aca="false">IF(ISTEXT(H44),"",(B44*$B$7/100)+(C44*$C$7/100))</f>
        <v>0.0022</v>
      </c>
      <c r="R44" s="456" t="n">
        <f aca="false">IF(OR(ISTEXT(H44),Q44=0),"",IF(Q44&lt;0.1,1,IF(Q44&lt;1,2,IF(Q44&lt;10,3,IF(Q44&lt;50,4,IF(Q44&gt;=50,5,""))))))</f>
        <v>1</v>
      </c>
      <c r="S44" s="456" t="n">
        <f aca="false">IF(ISERROR(R44*I44),0,R44*I44)</f>
        <v>7</v>
      </c>
      <c r="T44" s="456" t="n">
        <f aca="false">IF(ISERROR(R44*I44*J44),0,R44*I44*J44)</f>
        <v>7</v>
      </c>
      <c r="U44" s="470" t="n">
        <f aca="false">IF(ISERROR(R44*J44),0,R44*J44)</f>
        <v>1</v>
      </c>
      <c r="V44" s="457" t="n">
        <v>1</v>
      </c>
      <c r="W44" s="458"/>
      <c r="Y44" s="459" t="str">
        <f aca="false">IF(A44="new.cod","NEWCOD",IF(AND((Z44=""),ISTEXT(A44)),A44,IF(Z44="","",INDEX('liste reference'!$A$7:$A$892,Z44))))</f>
        <v>SPAEML</v>
      </c>
      <c r="Z44" s="250" t="n">
        <f aca="false">IF(ISERROR(MATCH(A44,'liste reference'!$A$7:$A$892,0)),IF(ISERROR(MATCH(A44,'liste reference'!$B$7:$B$892,0)),"",(MATCH(A44,'liste reference'!$B$7:$B$892,0))),(MATCH(A44,'liste reference'!$A$7:$A$892,0)))</f>
        <v>792</v>
      </c>
      <c r="AA44" s="460"/>
      <c r="AB44" s="461"/>
      <c r="AC44" s="461"/>
      <c r="BC44" s="250" t="n">
        <f aca="false">IF(A44="","",1)</f>
        <v>1</v>
      </c>
    </row>
    <row r="45" customFormat="false" ht="12.75" hidden="false" customHeight="false" outlineLevel="0" collapsed="false">
      <c r="A45" s="462" t="s">
        <v>72</v>
      </c>
      <c r="B45" s="463" t="n">
        <v>0.005</v>
      </c>
      <c r="C45" s="464" t="n">
        <v>0.01</v>
      </c>
      <c r="D45" s="465" t="str">
        <f aca="false">IF(ISERROR(VLOOKUP($A45,'liste reference'!$A$7:$D$892,2,0)),IF(ISERROR(VLOOKUP($A45,'liste reference'!$B$7:$D$892,1,0)),"",VLOOKUP($A45,'liste reference'!$B$7:$D$892,1,0)),VLOOKUP($A45,'liste reference'!$A$7:$D$892,2,0))</f>
        <v>Agrostis stolonifera</v>
      </c>
      <c r="E45" s="465" t="e">
        <f aca="false">IF(D45="",0,VLOOKUP(D45,D$22:D44,1,0))</f>
        <v>#N/A</v>
      </c>
      <c r="F45" s="472" t="n">
        <f aca="false">($B45*$B$7+$C45*$C$7)/100</f>
        <v>0.0072</v>
      </c>
      <c r="G45" s="467" t="str">
        <f aca="false">IF(A45="","",IF(ISERROR(VLOOKUP($A45,'liste reference'!$A$7:$P$892,13,0)),IF(ISERROR(VLOOKUP($A45,'liste reference'!$B$7:$P$892,12,0)),"    -",VLOOKUP($A45,'liste reference'!$B$7:$P$892,12,0)),VLOOKUP($A45,'liste reference'!$A$7:$P$892,13,0)))</f>
        <v>PHe</v>
      </c>
      <c r="H45" s="449" t="n">
        <f aca="false">IF(A45="","x",IF(ISERROR(VLOOKUP($A45,'liste reference'!$A$7:$P$892,14,0)),IF(ISERROR(VLOOKUP($A45,'liste reference'!$B$7:$P$892,13,0)),"x",VLOOKUP($A45,'liste reference'!$B$7:$P$892,13,0)),VLOOKUP($A45,'liste reference'!$A$7:$P$892,14,0)))</f>
        <v>8</v>
      </c>
      <c r="I45" s="468" t="n">
        <f aca="false">IF(ISNUMBER(H45),IF(ISERROR(VLOOKUP($A45,'liste reference'!$A$7:$P$892,3,0)),IF(ISERROR(VLOOKUP($A45,'liste reference'!$B$7:$P$892,2,0)),"",VLOOKUP($A45,'liste reference'!$B$7:$P$892,2,0)),VLOOKUP($A45,'liste reference'!$A$7:$P$892,3,0)),"")</f>
        <v>10</v>
      </c>
      <c r="J45" s="451" t="n">
        <f aca="false">IF(ISNUMBER(H45),IF(ISERROR(VLOOKUP($A45,'liste reference'!$A$7:$P$892,4,0)),IF(ISERROR(VLOOKUP($A45,'liste reference'!$B$7:$P$892,3,0)),"",VLOOKUP($A45,'liste reference'!$B$7:$P$892,3,0)),VLOOKUP($A45,'liste reference'!$A$7:$P$892,4,0)),"")</f>
        <v>1</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Agrostis stolonifera</v>
      </c>
      <c r="L45" s="469"/>
      <c r="M45" s="469"/>
      <c r="N45" s="469"/>
      <c r="O45" s="454" t="str">
        <f aca="false">IF(AA45="Cf.","Cf.","")</f>
        <v/>
      </c>
      <c r="P45" s="454" t="n">
        <f aca="false">IF($A45="NEWCOD",IF($AC45="","No",$AC45),IF(ISTEXT($E45),"DEJA SAISI !",IF($A45="","",IF(ISERROR(VLOOKUP($A45,'liste reference'!A:S,19,FALSE())),IF(ISERROR(VLOOKUP($A45,'liste reference'!B:S,19,FALSE())),"",VLOOKUP($A45,'liste reference'!B:S,19,FALSE())),VLOOKUP($A45,'liste reference'!A:S,19,FALSE())))))</f>
        <v>1543</v>
      </c>
      <c r="Q45" s="455" t="n">
        <f aca="false">IF(ISTEXT(H45),"",(B45*$B$7/100)+(C45*$C$7/100))</f>
        <v>0.0072</v>
      </c>
      <c r="R45" s="456" t="n">
        <f aca="false">IF(OR(ISTEXT(H45),Q45=0),"",IF(Q45&lt;0.1,1,IF(Q45&lt;1,2,IF(Q45&lt;10,3,IF(Q45&lt;50,4,IF(Q45&gt;=50,5,""))))))</f>
        <v>1</v>
      </c>
      <c r="S45" s="456" t="n">
        <f aca="false">IF(ISERROR(R45*I45),0,R45*I45)</f>
        <v>10</v>
      </c>
      <c r="T45" s="456" t="n">
        <f aca="false">IF(ISERROR(R45*I45*J45),0,R45*I45*J45)</f>
        <v>10</v>
      </c>
      <c r="U45" s="470" t="n">
        <f aca="false">IF(ISERROR(R45*J45),0,R45*J45)</f>
        <v>1</v>
      </c>
      <c r="V45" s="457" t="n">
        <v>1</v>
      </c>
      <c r="W45" s="458"/>
      <c r="Y45" s="459" t="str">
        <f aca="false">IF(A45="new.cod","NEWCOD",IF(AND((Z45=""),ISTEXT(A45)),A45,IF(Z45="","",INDEX('liste reference'!$A$7:$A$892,Z45))))</f>
        <v>AGRSTO</v>
      </c>
      <c r="Z45" s="250" t="n">
        <f aca="false">IF(ISERROR(MATCH(A45,'liste reference'!$A$7:$A$892,0)),IF(ISERROR(MATCH(A45,'liste reference'!$B$7:$B$892,0)),"",(MATCH(A45,'liste reference'!$B$7:$B$892,0))),(MATCH(A45,'liste reference'!$A$7:$A$892,0)))</f>
        <v>8</v>
      </c>
      <c r="AA45" s="460"/>
      <c r="AB45" s="461"/>
      <c r="AC45" s="461"/>
      <c r="BC45" s="250" t="n">
        <f aca="false">IF(A45="","",1)</f>
        <v>1</v>
      </c>
    </row>
    <row r="46" customFormat="false" ht="12.75" hidden="false" customHeight="false" outlineLevel="0" collapsed="false">
      <c r="A46" s="462" t="s">
        <v>1359</v>
      </c>
      <c r="B46" s="463" t="n">
        <v>0.005</v>
      </c>
      <c r="C46" s="464"/>
      <c r="D46" s="465" t="str">
        <f aca="false">IF(ISERROR(VLOOKUP($A46,'liste reference'!$A$7:$D$892,2,0)),IF(ISERROR(VLOOKUP($A46,'liste reference'!$B$7:$D$892,1,0)),"",VLOOKUP($A46,'liste reference'!$B$7:$D$892,1,0)),VLOOKUP($A46,'liste reference'!$A$7:$D$892,2,0))</f>
        <v>Lythrum salicaria</v>
      </c>
      <c r="E46" s="465" t="e">
        <f aca="false">IF(D46="",0,VLOOKUP(D46,D$22:D45,1,0))</f>
        <v>#N/A</v>
      </c>
      <c r="F46" s="472" t="n">
        <f aca="false">($B46*$B$7+$C46*$C$7)/100</f>
        <v>0.0028</v>
      </c>
      <c r="G46" s="467" t="str">
        <f aca="false">IF(A46="","",IF(ISERROR(VLOOKUP($A46,'liste reference'!$A$7:$P$892,13,0)),IF(ISERROR(VLOOKUP($A46,'liste reference'!$B$7:$P$892,12,0)),"    -",VLOOKUP($A46,'liste reference'!$B$7:$P$892,12,0)),VLOOKUP($A46,'liste reference'!$A$7:$P$892,13,0)))</f>
        <v>PHe</v>
      </c>
      <c r="H46" s="449" t="n">
        <f aca="false">IF(A46="","x",IF(ISERROR(VLOOKUP($A46,'liste reference'!$A$7:$P$892,14,0)),IF(ISERROR(VLOOKUP($A46,'liste reference'!$B$7:$P$892,13,0)),"x",VLOOKUP($A46,'liste reference'!$B$7:$P$892,13,0)),VLOOKUP($A46,'liste reference'!$A$7:$P$892,14,0)))</f>
        <v>8</v>
      </c>
      <c r="I46" s="468" t="n">
        <f aca="false">IF(ISNUMBER(H46),IF(ISERROR(VLOOKUP($A46,'liste reference'!$A$7:$P$892,3,0)),IF(ISERROR(VLOOKUP($A46,'liste reference'!$B$7:$P$892,2,0)),"",VLOOKUP($A46,'liste reference'!$B$7:$P$892,2,0)),VLOOKUP($A46,'liste reference'!$A$7:$P$892,3,0)),"")</f>
        <v>0</v>
      </c>
      <c r="J46" s="451" t="n">
        <f aca="false">IF(ISNUMBER(H46),IF(ISERROR(VLOOKUP($A46,'liste reference'!$A$7:$P$892,4,0)),IF(ISERROR(VLOOKUP($A46,'liste reference'!$B$7:$P$892,3,0)),"",VLOOKUP($A46,'liste reference'!$B$7:$P$892,3,0)),VLOOKUP($A46,'liste reference'!$A$7:$P$892,4,0)),"")</f>
        <v>0</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Lythrum salicaria</v>
      </c>
      <c r="L46" s="469"/>
      <c r="M46" s="469"/>
      <c r="N46" s="469"/>
      <c r="O46" s="454" t="str">
        <f aca="false">IF(AA46="Cf.","Cf.","")</f>
        <v/>
      </c>
      <c r="P46" s="454" t="n">
        <f aca="false">IF($A46="NEWCOD",IF($AC46="","No",$AC46),IF(ISTEXT($E46),"DEJA SAISI !",IF($A46="","",IF(ISERROR(VLOOKUP($A46,'liste reference'!A:S,19,FALSE())),IF(ISERROR(VLOOKUP($A46,'liste reference'!B:S,19,FALSE())),"",VLOOKUP($A46,'liste reference'!B:S,19,FALSE())),VLOOKUP($A46,'liste reference'!A:S,19,FALSE())))))</f>
        <v>1823</v>
      </c>
      <c r="Q46" s="455" t="n">
        <f aca="false">IF(ISTEXT(H46),"",(B46*$B$7/100)+(C46*$C$7/100))</f>
        <v>0.0028</v>
      </c>
      <c r="R46" s="456" t="n">
        <f aca="false">IF(OR(ISTEXT(H46),Q46=0),"",IF(Q46&lt;0.1,1,IF(Q46&lt;1,2,IF(Q46&lt;10,3,IF(Q46&lt;50,4,IF(Q46&gt;=50,5,""))))))</f>
        <v>1</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LYTSAL</v>
      </c>
      <c r="Z46" s="250" t="n">
        <f aca="false">IF(ISERROR(MATCH(A46,'liste reference'!$A$7:$A$892,0)),IF(ISERROR(MATCH(A46,'liste reference'!$B$7:$B$892,0)),"",(MATCH(A46,'liste reference'!$B$7:$B$892,0))),(MATCH(A46,'liste reference'!$A$7:$A$892,0)))</f>
        <v>444</v>
      </c>
      <c r="AA46" s="460"/>
      <c r="AB46" s="461"/>
      <c r="AC46" s="461"/>
      <c r="BC46" s="250" t="n">
        <f aca="false">IF(A46="","",1)</f>
        <v>1</v>
      </c>
    </row>
    <row r="47" customFormat="false" ht="12.75" hidden="false" customHeight="false" outlineLevel="0" collapsed="false">
      <c r="A47" s="462" t="s">
        <v>1410</v>
      </c>
      <c r="B47" s="463" t="n">
        <v>0.01</v>
      </c>
      <c r="C47" s="464" t="n">
        <v>0.01</v>
      </c>
      <c r="D47" s="465" t="str">
        <f aca="false">IF(ISERROR(VLOOKUP($A47,'liste reference'!$A$7:$D$892,2,0)),IF(ISERROR(VLOOKUP($A47,'liste reference'!$B$7:$D$892,1,0)),"",VLOOKUP($A47,'liste reference'!$B$7:$D$892,1,0)),VLOOKUP($A47,'liste reference'!$A$7:$D$892,2,0))</f>
        <v>Mentha aquatica</v>
      </c>
      <c r="E47" s="465" t="e">
        <f aca="false">IF(D47="",0,VLOOKUP(D47,D$22:D46,1,0))</f>
        <v>#N/A</v>
      </c>
      <c r="F47" s="472" t="n">
        <f aca="false">($B47*$B$7+$C47*$C$7)/100</f>
        <v>0.01</v>
      </c>
      <c r="G47" s="467" t="str">
        <f aca="false">IF(A47="","",IF(ISERROR(VLOOKUP($A47,'liste reference'!$A$7:$P$892,13,0)),IF(ISERROR(VLOOKUP($A47,'liste reference'!$B$7:$P$892,12,0)),"    -",VLOOKUP($A47,'liste reference'!$B$7:$P$892,12,0)),VLOOKUP($A47,'liste reference'!$A$7:$P$892,13,0)))</f>
        <v>PHe</v>
      </c>
      <c r="H47" s="449" t="n">
        <f aca="false">IF(A47="","x",IF(ISERROR(VLOOKUP($A47,'liste reference'!$A$7:$P$892,14,0)),IF(ISERROR(VLOOKUP($A47,'liste reference'!$B$7:$P$892,13,0)),"x",VLOOKUP($A47,'liste reference'!$B$7:$P$892,13,0)),VLOOKUP($A47,'liste reference'!$A$7:$P$892,14,0)))</f>
        <v>8</v>
      </c>
      <c r="I47" s="468" t="n">
        <f aca="false">IF(ISNUMBER(H47),IF(ISERROR(VLOOKUP($A47,'liste reference'!$A$7:$P$892,3,0)),IF(ISERROR(VLOOKUP($A47,'liste reference'!$B$7:$P$892,2,0)),"",VLOOKUP($A47,'liste reference'!$B$7:$P$892,2,0)),VLOOKUP($A47,'liste reference'!$A$7:$P$892,3,0)),"")</f>
        <v>12</v>
      </c>
      <c r="J47" s="451" t="n">
        <f aca="false">IF(ISNUMBER(H47),IF(ISERROR(VLOOKUP($A47,'liste reference'!$A$7:$P$892,4,0)),IF(ISERROR(VLOOKUP($A47,'liste reference'!$B$7:$P$892,3,0)),"",VLOOKUP($A47,'liste reference'!$B$7:$P$892,3,0)),VLOOKUP($A47,'liste reference'!$A$7:$P$892,4,0)),"")</f>
        <v>1</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Mentha aquatica</v>
      </c>
      <c r="L47" s="469"/>
      <c r="M47" s="469"/>
      <c r="N47" s="469"/>
      <c r="O47" s="454" t="str">
        <f aca="false">IF(AA47="Cf.","Cf.","")</f>
        <v/>
      </c>
      <c r="P47" s="454" t="n">
        <f aca="false">IF($A47="NEWCOD",IF($AC47="","No",$AC47),IF(ISTEXT($E47),"DEJA SAISI !",IF($A47="","",IF(ISERROR(VLOOKUP($A47,'liste reference'!A:S,19,FALSE())),IF(ISERROR(VLOOKUP($A47,'liste reference'!B:S,19,FALSE())),"",VLOOKUP($A47,'liste reference'!B:S,19,FALSE())),VLOOKUP($A47,'liste reference'!A:S,19,FALSE())))))</f>
        <v>1791</v>
      </c>
      <c r="Q47" s="455" t="n">
        <f aca="false">IF(ISTEXT(H47),"",(B47*$B$7/100)+(C47*$C$7/100))</f>
        <v>0.01</v>
      </c>
      <c r="R47" s="456" t="n">
        <f aca="false">IF(OR(ISTEXT(H47),Q47=0),"",IF(Q47&lt;0.1,1,IF(Q47&lt;1,2,IF(Q47&lt;10,3,IF(Q47&lt;50,4,IF(Q47&gt;=50,5,""))))))</f>
        <v>1</v>
      </c>
      <c r="S47" s="456" t="n">
        <f aca="false">IF(ISERROR(R47*I47),0,R47*I47)</f>
        <v>12</v>
      </c>
      <c r="T47" s="456" t="n">
        <f aca="false">IF(ISERROR(R47*I47*J47),0,R47*I47*J47)</f>
        <v>12</v>
      </c>
      <c r="U47" s="470" t="n">
        <f aca="false">IF(ISERROR(R47*J47),0,R47*J47)</f>
        <v>1</v>
      </c>
      <c r="V47" s="457" t="n">
        <v>1</v>
      </c>
      <c r="W47" s="458"/>
      <c r="Y47" s="459" t="str">
        <f aca="false">IF(A47="new.cod","NEWCOD",IF(AND((Z47=""),ISTEXT(A47)),A47,IF(Z47="","",INDEX('liste reference'!$A$7:$A$892,Z47))))</f>
        <v>MENAQU</v>
      </c>
      <c r="Z47" s="250" t="n">
        <f aca="false">IF(ISERROR(MATCH(A47,'liste reference'!$A$7:$A$892,0)),IF(ISERROR(MATCH(A47,'liste reference'!$B$7:$B$892,0)),"",(MATCH(A47,'liste reference'!$B$7:$B$892,0))),(MATCH(A47,'liste reference'!$A$7:$A$892,0)))</f>
        <v>458</v>
      </c>
      <c r="AA47" s="460"/>
      <c r="AB47" s="461"/>
      <c r="AC47" s="461"/>
      <c r="BC47" s="250" t="n">
        <f aca="false">IF(A47="","",1)</f>
        <v>1</v>
      </c>
    </row>
    <row r="48" customFormat="false" ht="12.75" hidden="false" customHeight="false" outlineLevel="0" collapsed="false">
      <c r="A48" s="462" t="s">
        <v>1550</v>
      </c>
      <c r="B48" s="463"/>
      <c r="C48" s="464" t="n">
        <v>0.01</v>
      </c>
      <c r="D48" s="465" t="str">
        <f aca="false">IF(ISERROR(VLOOKUP($A48,'liste reference'!$A$7:$D$892,2,0)),IF(ISERROR(VLOOKUP($A48,'liste reference'!$B$7:$D$892,1,0)),"",VLOOKUP($A48,'liste reference'!$B$7:$D$892,1,0)),VLOOKUP($A48,'liste reference'!$A$7:$D$892,2,0))</f>
        <v>Nasturtium officinale</v>
      </c>
      <c r="E48" s="465" t="e">
        <f aca="false">IF(D48="",0,VLOOKUP(D48,D$22:D47,1,0))</f>
        <v>#N/A</v>
      </c>
      <c r="F48" s="472" t="n">
        <f aca="false">($B48*$B$7+$C48*$C$7)/100</f>
        <v>0.0044</v>
      </c>
      <c r="G48" s="467" t="str">
        <f aca="false">IF(A48="","",IF(ISERROR(VLOOKUP($A48,'liste reference'!$A$7:$P$892,13,0)),IF(ISERROR(VLOOKUP($A48,'liste reference'!$B$7:$P$892,12,0)),"    -",VLOOKUP($A48,'liste reference'!$B$7:$P$892,12,0)),VLOOKUP($A48,'liste reference'!$A$7:$P$892,13,0)))</f>
        <v>PHe</v>
      </c>
      <c r="H48" s="449" t="n">
        <f aca="false">IF(A48="","x",IF(ISERROR(VLOOKUP($A48,'liste reference'!$A$7:$P$892,14,0)),IF(ISERROR(VLOOKUP($A48,'liste reference'!$B$7:$P$892,13,0)),"x",VLOOKUP($A48,'liste reference'!$B$7:$P$892,13,0)),VLOOKUP($A48,'liste reference'!$A$7:$P$892,14,0)))</f>
        <v>8</v>
      </c>
      <c r="I48" s="468" t="n">
        <f aca="false">IF(ISNUMBER(H48),IF(ISERROR(VLOOKUP($A48,'liste reference'!$A$7:$P$892,3,0)),IF(ISERROR(VLOOKUP($A48,'liste reference'!$B$7:$P$892,2,0)),"",VLOOKUP($A48,'liste reference'!$B$7:$P$892,2,0)),VLOOKUP($A48,'liste reference'!$A$7:$P$892,3,0)),"")</f>
        <v>11</v>
      </c>
      <c r="J48" s="451" t="n">
        <f aca="false">IF(ISNUMBER(H48),IF(ISERROR(VLOOKUP($A48,'liste reference'!$A$7:$P$892,4,0)),IF(ISERROR(VLOOKUP($A48,'liste reference'!$B$7:$P$892,3,0)),"",VLOOKUP($A48,'liste reference'!$B$7:$P$892,3,0)),VLOOKUP($A48,'liste reference'!$A$7:$P$892,4,0)),"")</f>
        <v>1</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Nasturtium officinale</v>
      </c>
      <c r="L48" s="469"/>
      <c r="M48" s="469"/>
      <c r="N48" s="469"/>
      <c r="O48" s="454" t="str">
        <f aca="false">IF(AA48="Cf.","Cf.","")</f>
        <v/>
      </c>
      <c r="P48" s="454" t="n">
        <f aca="false">IF($A48="NEWCOD",IF($AC48="","No",$AC48),IF(ISTEXT($E48),"DEJA SAISI !",IF($A48="","",IF(ISERROR(VLOOKUP($A48,'liste reference'!A:S,19,FALSE())),IF(ISERROR(VLOOKUP($A48,'liste reference'!B:S,19,FALSE())),"",VLOOKUP($A48,'liste reference'!B:S,19,FALSE())),VLOOKUP($A48,'liste reference'!A:S,19,FALSE())))))</f>
        <v>1763</v>
      </c>
      <c r="Q48" s="455" t="n">
        <f aca="false">IF(ISTEXT(H48),"",(B48*$B$7/100)+(C48*$C$7/100))</f>
        <v>0.0044</v>
      </c>
      <c r="R48" s="456" t="n">
        <f aca="false">IF(OR(ISTEXT(H48),Q48=0),"",IF(Q48&lt;0.1,1,IF(Q48&lt;1,2,IF(Q48&lt;10,3,IF(Q48&lt;50,4,IF(Q48&gt;=50,5,""))))))</f>
        <v>1</v>
      </c>
      <c r="S48" s="456" t="n">
        <f aca="false">IF(ISERROR(R48*I48),0,R48*I48)</f>
        <v>11</v>
      </c>
      <c r="T48" s="456" t="n">
        <f aca="false">IF(ISERROR(R48*I48*J48),0,R48*I48*J48)</f>
        <v>11</v>
      </c>
      <c r="U48" s="470" t="n">
        <f aca="false">IF(ISERROR(R48*J48),0,R48*J48)</f>
        <v>1</v>
      </c>
      <c r="V48" s="457" t="n">
        <v>1</v>
      </c>
      <c r="W48" s="458"/>
      <c r="Y48" s="459" t="str">
        <f aca="false">IF(A48="new.cod","NEWCOD",IF(AND((Z48=""),ISTEXT(A48)),A48,IF(Z48="","",INDEX('liste reference'!$A$7:$A$892,Z48))))</f>
        <v>NASOFF</v>
      </c>
      <c r="Z48" s="250" t="n">
        <f aca="false">IF(ISERROR(MATCH(A48,'liste reference'!$A$7:$A$892,0)),IF(ISERROR(MATCH(A48,'liste reference'!$B$7:$B$892,0)),"",(MATCH(A48,'liste reference'!$B$7:$B$892,0))),(MATCH(A48,'liste reference'!$A$7:$A$892,0)))</f>
        <v>514</v>
      </c>
      <c r="AA48" s="460"/>
      <c r="AB48" s="461"/>
      <c r="AC48" s="461"/>
      <c r="BC48" s="250" t="n">
        <f aca="false">IF(A48="","",1)</f>
        <v>1</v>
      </c>
    </row>
    <row r="49" customFormat="false" ht="12.75" hidden="false" customHeight="false" outlineLevel="0" collapsed="false">
      <c r="A49" s="462" t="s">
        <v>2206</v>
      </c>
      <c r="B49" s="463" t="n">
        <v>0.005</v>
      </c>
      <c r="C49" s="464" t="n">
        <v>0.005</v>
      </c>
      <c r="D49" s="465" t="str">
        <f aca="false">IF(ISERROR(VLOOKUP($A49,'liste reference'!$A$7:$D$892,2,0)),IF(ISERROR(VLOOKUP($A49,'liste reference'!$B$7:$D$892,1,0)),"",VLOOKUP($A49,'liste reference'!$B$7:$D$892,1,0)),VLOOKUP($A49,'liste reference'!$A$7:$D$892,2,0))</f>
        <v>Samolus valerandi</v>
      </c>
      <c r="E49" s="465" t="e">
        <f aca="false">IF(D49="",0,VLOOKUP(D49,D$22:D48,1,0))</f>
        <v>#N/A</v>
      </c>
      <c r="F49" s="472" t="n">
        <f aca="false">($B49*$B$7+$C49*$C$7)/100</f>
        <v>0.005</v>
      </c>
      <c r="G49" s="467" t="str">
        <f aca="false">IF(A49="","",IF(ISERROR(VLOOKUP($A49,'liste reference'!$A$7:$P$892,13,0)),IF(ISERROR(VLOOKUP($A49,'liste reference'!$B$7:$P$892,12,0)),"    -",VLOOKUP($A49,'liste reference'!$B$7:$P$892,12,0)),VLOOKUP($A49,'liste reference'!$A$7:$P$892,13,0)))</f>
        <v>PHe</v>
      </c>
      <c r="H49" s="449" t="n">
        <f aca="false">IF(A49="","x",IF(ISERROR(VLOOKUP($A49,'liste reference'!$A$7:$P$892,14,0)),IF(ISERROR(VLOOKUP($A49,'liste reference'!$B$7:$P$892,13,0)),"x",VLOOKUP($A49,'liste reference'!$B$7:$P$892,13,0)),VLOOKUP($A49,'liste reference'!$A$7:$P$892,14,0)))</f>
        <v>8</v>
      </c>
      <c r="I49" s="468" t="n">
        <f aca="false">IF(ISNUMBER(H49),IF(ISERROR(VLOOKUP($A49,'liste reference'!$A$7:$P$892,3,0)),IF(ISERROR(VLOOKUP($A49,'liste reference'!$B$7:$P$892,2,0)),"",VLOOKUP($A49,'liste reference'!$B$7:$P$892,2,0)),VLOOKUP($A49,'liste reference'!$A$7:$P$892,3,0)),"")</f>
        <v>0</v>
      </c>
      <c r="J49" s="451" t="n">
        <f aca="false">IF(ISNUMBER(H49),IF(ISERROR(VLOOKUP($A49,'liste reference'!$A$7:$P$892,4,0)),IF(ISERROR(VLOOKUP($A49,'liste reference'!$B$7:$P$892,3,0)),"",VLOOKUP($A49,'liste reference'!$B$7:$P$892,3,0)),VLOOKUP($A49,'liste reference'!$A$7:$P$892,4,0)),"")</f>
        <v>0</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Samolus valerandi</v>
      </c>
      <c r="L49" s="469"/>
      <c r="M49" s="469"/>
      <c r="N49" s="469"/>
      <c r="O49" s="454" t="str">
        <f aca="false">IF(AA49="Cf.","Cf.","")</f>
        <v/>
      </c>
      <c r="P49" s="454" t="n">
        <f aca="false">IF($A49="NEWCOD",IF($AC49="","No",$AC49),IF(ISTEXT($E49),"DEJA SAISI !",IF($A49="","",IF(ISERROR(VLOOKUP($A49,'liste reference'!A:S,19,FALSE())),IF(ISERROR(VLOOKUP($A49,'liste reference'!B:S,19,FALSE())),"",VLOOKUP($A49,'liste reference'!B:S,19,FALSE())),VLOOKUP($A49,'liste reference'!A:S,19,FALSE())))))</f>
        <v>1889</v>
      </c>
      <c r="Q49" s="455" t="n">
        <f aca="false">IF(ISTEXT(H49),"",(B49*$B$7/100)+(C49*$C$7/100))</f>
        <v>0.005</v>
      </c>
      <c r="R49" s="456" t="n">
        <f aca="false">IF(OR(ISTEXT(H49),Q49=0),"",IF(Q49&lt;0.1,1,IF(Q49&lt;1,2,IF(Q49&lt;10,3,IF(Q49&lt;50,4,IF(Q49&gt;=50,5,""))))))</f>
        <v>1</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SAMVAL</v>
      </c>
      <c r="Z49" s="250" t="n">
        <f aca="false">IF(ISERROR(MATCH(A49,'liste reference'!$A$7:$A$892,0)),IF(ISERROR(MATCH(A49,'liste reference'!$B$7:$B$892,0)),"",(MATCH(A49,'liste reference'!$B$7:$B$892,0))),(MATCH(A49,'liste reference'!$A$7:$A$892,0)))</f>
        <v>750</v>
      </c>
      <c r="AA49" s="460"/>
      <c r="AB49" s="461"/>
      <c r="AC49" s="461"/>
      <c r="BC49" s="250" t="n">
        <f aca="false">IF(A49="","",1)</f>
        <v>1</v>
      </c>
    </row>
    <row r="50" customFormat="false" ht="12.75" hidden="false" customHeight="false" outlineLevel="0" collapsed="false">
      <c r="A50" s="462" t="s">
        <v>1229</v>
      </c>
      <c r="B50" s="463"/>
      <c r="C50" s="464" t="n">
        <v>0.005</v>
      </c>
      <c r="D50" s="465" t="str">
        <f aca="false">IF(ISERROR(VLOOKUP($A50,'liste reference'!$A$7:$D$892,2,0)),IF(ISERROR(VLOOKUP($A50,'liste reference'!$B$7:$D$892,1,0)),"",VLOOKUP($A50,'liste reference'!$B$7:$D$892,1,0)),VLOOKUP($A50,'liste reference'!$A$7:$D$892,2,0))</f>
        <v>Juncus articulatus</v>
      </c>
      <c r="E50" s="465" t="e">
        <f aca="false">IF(D50="",0,VLOOKUP(D50,D$22:D49,1,0))</f>
        <v>#N/A</v>
      </c>
      <c r="F50" s="472" t="n">
        <f aca="false">($B50*$B$7+$C50*$C$7)/100</f>
        <v>0.0022</v>
      </c>
      <c r="G50" s="467" t="str">
        <f aca="false">IF(A50="","",IF(ISERROR(VLOOKUP($A50,'liste reference'!$A$7:$P$892,13,0)),IF(ISERROR(VLOOKUP($A50,'liste reference'!$B$7:$P$892,12,0)),"    -",VLOOKUP($A50,'liste reference'!$B$7:$P$892,12,0)),VLOOKUP($A50,'liste reference'!$A$7:$P$892,13,0)))</f>
        <v>PHg</v>
      </c>
      <c r="H50" s="449" t="n">
        <f aca="false">IF(A50="","x",IF(ISERROR(VLOOKUP($A50,'liste reference'!$A$7:$P$892,14,0)),IF(ISERROR(VLOOKUP($A50,'liste reference'!$B$7:$P$892,13,0)),"x",VLOOKUP($A50,'liste reference'!$B$7:$P$892,13,0)),VLOOKUP($A50,'liste reference'!$A$7:$P$892,14,0)))</f>
        <v>9</v>
      </c>
      <c r="I50" s="468" t="n">
        <f aca="false">IF(ISNUMBER(H50),IF(ISERROR(VLOOKUP($A50,'liste reference'!$A$7:$P$892,3,0)),IF(ISERROR(VLOOKUP($A50,'liste reference'!$B$7:$P$892,2,0)),"",VLOOKUP($A50,'liste reference'!$B$7:$P$892,2,0)),VLOOKUP($A50,'liste reference'!$A$7:$P$892,3,0)),"")</f>
        <v>0</v>
      </c>
      <c r="J50" s="451" t="n">
        <f aca="false">IF(ISNUMBER(H50),IF(ISERROR(VLOOKUP($A50,'liste reference'!$A$7:$P$892,4,0)),IF(ISERROR(VLOOKUP($A50,'liste reference'!$B$7:$P$892,3,0)),"",VLOOKUP($A50,'liste reference'!$B$7:$P$892,3,0)),VLOOKUP($A50,'liste reference'!$A$7:$P$892,4,0)),"")</f>
        <v>0</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Juncus articulatus</v>
      </c>
      <c r="L50" s="469"/>
      <c r="M50" s="469"/>
      <c r="N50" s="469"/>
      <c r="O50" s="454" t="str">
        <f aca="false">IF(AA50="Cf.","Cf.","")</f>
        <v/>
      </c>
      <c r="P50" s="454" t="n">
        <f aca="false">IF($A50="NEWCOD",IF($AC50="","No",$AC50),IF(ISTEXT($E50),"DEJA SAISI !",IF($A50="","",IF(ISERROR(VLOOKUP($A50,'liste reference'!A:S,19,FALSE())),IF(ISERROR(VLOOKUP($A50,'liste reference'!B:S,19,FALSE())),"",VLOOKUP($A50,'liste reference'!B:S,19,FALSE())),VLOOKUP($A50,'liste reference'!A:S,19,FALSE())))))</f>
        <v>169</v>
      </c>
      <c r="Q50" s="455" t="n">
        <f aca="false">IF(ISTEXT(H50),"",(B50*$B$7/100)+(C50*$C$7/100))</f>
        <v>0.0022</v>
      </c>
      <c r="R50" s="456" t="n">
        <f aca="false">IF(OR(ISTEXT(H50),Q50=0),"",IF(Q50&lt;0.1,1,IF(Q50&lt;1,2,IF(Q50&lt;10,3,IF(Q50&lt;50,4,IF(Q50&gt;=50,5,""))))))</f>
        <v>1</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JUNART</v>
      </c>
      <c r="Z50" s="250" t="n">
        <f aca="false">IF(ISERROR(MATCH(A50,'liste reference'!$A$7:$A$892,0)),IF(ISERROR(MATCH(A50,'liste reference'!$B$7:$B$892,0)),"",(MATCH(A50,'liste reference'!$B$7:$B$892,0))),(MATCH(A50,'liste reference'!$A$7:$A$892,0)))</f>
        <v>392</v>
      </c>
      <c r="AA50" s="460"/>
      <c r="AB50" s="461"/>
      <c r="AC50" s="461"/>
      <c r="BC50" s="250" t="n">
        <f aca="false">IF(A50="","",1)</f>
        <v>1</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Sals</v>
      </c>
      <c r="B84" s="493" t="str">
        <f aca="false">C3</f>
        <v>Coustaussa</v>
      </c>
      <c r="C84" s="494" t="n">
        <f aca="false">A4</f>
        <v>41122</v>
      </c>
      <c r="D84" s="495" t="n">
        <f aca="false">IF(ISERROR(SUM($T$23:$T$82)/SUM($U$23:$U$82)),"",SUM($T$23:$T$82)/SUM($U$23:$U$82))</f>
        <v>9.3030303030303</v>
      </c>
      <c r="E84" s="496" t="n">
        <f aca="false">N13</f>
        <v>28</v>
      </c>
      <c r="F84" s="493" t="n">
        <f aca="false">N14</f>
        <v>28</v>
      </c>
      <c r="G84" s="493" t="n">
        <f aca="false">N15</f>
        <v>10</v>
      </c>
      <c r="H84" s="493" t="n">
        <f aca="false">N16</f>
        <v>7</v>
      </c>
      <c r="I84" s="493" t="n">
        <f aca="false">N17</f>
        <v>2</v>
      </c>
      <c r="J84" s="497" t="n">
        <f aca="false">N8</f>
        <v>6.67857142857143</v>
      </c>
      <c r="K84" s="495" t="n">
        <f aca="false">N9</f>
        <v>5.38897070793721</v>
      </c>
      <c r="L84" s="496" t="n">
        <f aca="false">N10</f>
        <v>0</v>
      </c>
      <c r="M84" s="496" t="n">
        <f aca="false">N11</f>
        <v>15</v>
      </c>
      <c r="N84" s="495" t="n">
        <f aca="false">O8</f>
        <v>1.07142857142857</v>
      </c>
      <c r="O84" s="495" t="n">
        <f aca="false">O9</f>
        <v>0.939998874253519</v>
      </c>
      <c r="P84" s="496" t="n">
        <f aca="false">O10</f>
        <v>0</v>
      </c>
      <c r="Q84" s="496" t="n">
        <f aca="false">O11</f>
        <v>3</v>
      </c>
      <c r="R84" s="496" t="n">
        <f aca="false">F21</f>
        <v>75.2254</v>
      </c>
      <c r="S84" s="496" t="n">
        <f aca="false">K11</f>
        <v>0</v>
      </c>
      <c r="T84" s="496" t="n">
        <f aca="false">K12</f>
        <v>9</v>
      </c>
      <c r="U84" s="496" t="n">
        <f aca="false">K13</f>
        <v>5</v>
      </c>
      <c r="V84" s="498" t="n">
        <f aca="false">K14</f>
        <v>1</v>
      </c>
      <c r="W84" s="499" t="n">
        <f aca="false">K15</f>
        <v>13</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40</v>
      </c>
      <c r="T87" s="250"/>
      <c r="U87" s="250"/>
      <c r="V87" s="250"/>
    </row>
    <row r="88" customFormat="false" ht="12.75" hidden="true" customHeight="false" outlineLevel="0" collapsed="false">
      <c r="P88" s="250"/>
      <c r="Q88" s="250" t="s">
        <v>2688</v>
      </c>
      <c r="R88" s="250"/>
      <c r="S88" s="457" t="n">
        <f aca="false">VLOOKUP((S87),($S$23:$U$82),2,0)</f>
        <v>40</v>
      </c>
      <c r="T88" s="250"/>
      <c r="U88" s="250"/>
      <c r="V88" s="250"/>
    </row>
    <row r="89" customFormat="false" ht="12.75" hidden="false" customHeight="false" outlineLevel="0" collapsed="false">
      <c r="Q89" s="250" t="s">
        <v>2689</v>
      </c>
      <c r="R89" s="250"/>
      <c r="S89" s="457" t="n">
        <f aca="false">VLOOKUP((S87),($S$23:$U$82),3,0)</f>
        <v>4</v>
      </c>
      <c r="T89" s="250"/>
    </row>
    <row r="90" customFormat="false" ht="12.75" hidden="false" customHeight="false" outlineLevel="0" collapsed="false">
      <c r="Q90" s="250" t="s">
        <v>2690</v>
      </c>
      <c r="R90" s="250"/>
      <c r="S90" s="502" t="n">
        <f aca="false">IF(ISERROR(SUM($T$23:$T$82)/SUM($U$23:$U$82)),"",(SUM($T$23:$T$82)-S88)/(SUM($U$23:$U$82)-S89))</f>
        <v>9.25806451612903</v>
      </c>
      <c r="T90" s="250"/>
    </row>
    <row r="91" customFormat="false" ht="12.75" hidden="false" customHeight="false" outlineLevel="0" collapsed="false">
      <c r="Q91" s="456" t="s">
        <v>2691</v>
      </c>
      <c r="R91" s="456"/>
      <c r="S91" s="456" t="str">
        <f aca="false">INDEX('liste reference'!$A$7:$A$892,$T$91)</f>
        <v>SPISPX</v>
      </c>
      <c r="T91" s="250" t="n">
        <f aca="false">IF(ISERROR(MATCH($S$93,'liste reference'!$A$7:$A$892,0)),MATCH($S$93,'liste reference'!$B$7:$B$892,0),(MATCH($S$93,'liste reference'!$A$7:$A$892,0)))</f>
        <v>815</v>
      </c>
      <c r="U91" s="491"/>
    </row>
    <row r="92" customFormat="false" ht="12.75" hidden="false" customHeight="false" outlineLevel="0" collapsed="false">
      <c r="Q92" s="250" t="s">
        <v>2692</v>
      </c>
      <c r="R92" s="250"/>
      <c r="S92" s="250" t="n">
        <f aca="false">MATCH(S87,$S$23:$S$82,0)</f>
        <v>8</v>
      </c>
      <c r="T92" s="250"/>
    </row>
    <row r="93" customFormat="false" ht="12.75" hidden="false" customHeight="false" outlineLevel="0" collapsed="false">
      <c r="Q93" s="456" t="s">
        <v>2693</v>
      </c>
      <c r="R93" s="250"/>
      <c r="S93" s="456" t="str">
        <f aca="false">INDEX($A$23:$A$82,$S$92)</f>
        <v>SPISPX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2694</v>
      </c>
      <c r="B2" s="254"/>
      <c r="C2" s="255" t="s">
        <v>2695</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2696</v>
      </c>
      <c r="B3" s="254"/>
      <c r="C3" s="253" t="s">
        <v>2697</v>
      </c>
      <c r="D3" s="264"/>
      <c r="E3" s="264"/>
      <c r="F3" s="265"/>
      <c r="G3" s="265"/>
      <c r="H3" s="266"/>
      <c r="I3" s="267"/>
      <c r="J3" s="266"/>
      <c r="K3" s="268" t="s">
        <v>2698</v>
      </c>
      <c r="L3" s="269"/>
      <c r="M3" s="270" t="s">
        <v>2699</v>
      </c>
      <c r="N3" s="271"/>
      <c r="O3" s="271"/>
      <c r="P3" s="272"/>
      <c r="Q3" s="250"/>
      <c r="R3" s="250"/>
      <c r="S3" s="250"/>
      <c r="T3" s="250"/>
      <c r="U3" s="250"/>
      <c r="V3" s="250"/>
      <c r="W3" s="262"/>
      <c r="X3" s="263"/>
    </row>
    <row r="4" customFormat="false" ht="13.5" hidden="false" customHeight="false" outlineLevel="0" collapsed="false">
      <c r="A4" s="273" t="s">
        <v>2700</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2701</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0</v>
      </c>
      <c r="T87" s="250"/>
      <c r="U87" s="250"/>
      <c r="V87" s="250"/>
    </row>
    <row r="88" customFormat="false" ht="12.75" hidden="true" customHeight="false" outlineLevel="0" collapsed="false">
      <c r="P88" s="250"/>
      <c r="Q88" s="250" t="s">
        <v>2688</v>
      </c>
      <c r="R88" s="250"/>
      <c r="S88" s="457" t="n">
        <f aca="false">VLOOKUP((S87),($S$23:$U$82),2,0)</f>
        <v>0</v>
      </c>
      <c r="T88" s="250"/>
      <c r="U88" s="250"/>
      <c r="V88" s="250"/>
    </row>
    <row r="89" customFormat="false" ht="12.75" hidden="false" customHeight="false" outlineLevel="0" collapsed="false">
      <c r="Q89" s="250" t="s">
        <v>2689</v>
      </c>
      <c r="R89" s="250"/>
      <c r="S89" s="457" t="n">
        <f aca="false">VLOOKUP((S87),($S$23:$U$82),3,0)</f>
        <v>0</v>
      </c>
      <c r="T89" s="250"/>
    </row>
    <row r="90" customFormat="false" ht="12.75" hidden="false" customHeight="false" outlineLevel="0" collapsed="false">
      <c r="Q90" s="250" t="s">
        <v>2690</v>
      </c>
      <c r="R90" s="250"/>
      <c r="S90" s="502" t="str">
        <f aca="false">IF(ISERROR(SUM($T$23:$T$82)/SUM($U$23:$U$82)),"",(SUM($T$23:$T$82)-S88)/(SUM($U$23:$U$82)-S89))</f>
        <v/>
      </c>
      <c r="T90" s="250"/>
    </row>
    <row r="91" customFormat="false" ht="12.75" hidden="false" customHeight="false" outlineLevel="0" collapsed="false">
      <c r="Q91" s="456" t="s">
        <v>2691</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2692</v>
      </c>
      <c r="R92" s="250"/>
      <c r="S92" s="250" t="n">
        <f aca="false">MATCH(S87,$S$23:$S$82,0)</f>
        <v>1</v>
      </c>
      <c r="T92" s="250"/>
    </row>
    <row r="93" customFormat="false" ht="12.75" hidden="false" customHeight="false" outlineLevel="0" collapsed="false">
      <c r="Q93" s="456" t="s">
        <v>2693</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2702</v>
      </c>
      <c r="B1" s="513"/>
      <c r="C1" s="513"/>
      <c r="D1" s="513"/>
    </row>
    <row r="2" customFormat="false" ht="15" hidden="false" customHeight="false" outlineLevel="0" collapsed="false">
      <c r="A2" s="514" t="s">
        <v>2703</v>
      </c>
      <c r="B2" s="515"/>
      <c r="C2" s="516"/>
      <c r="D2" s="516"/>
    </row>
    <row r="3" customFormat="false" ht="15.75" hidden="false" customHeight="false" outlineLevel="0" collapsed="false">
      <c r="A3" s="514" t="s">
        <v>2704</v>
      </c>
      <c r="B3" s="515"/>
      <c r="C3" s="516"/>
      <c r="D3" s="517" t="s">
        <v>2705</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2706</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2707</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2708</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2709</v>
      </c>
      <c r="C15" s="532"/>
      <c r="D15" s="533"/>
      <c r="F15" s="534" t="s">
        <v>2710</v>
      </c>
      <c r="G15" s="535"/>
      <c r="H15" s="536" t="s">
        <v>2711</v>
      </c>
      <c r="I15" s="535"/>
    </row>
    <row r="16" customFormat="false" ht="12.75" hidden="false" customHeight="false" outlineLevel="0" collapsed="false">
      <c r="A16" s="531" t="s">
        <v>72</v>
      </c>
      <c r="B16" s="530" t="s">
        <v>73</v>
      </c>
      <c r="C16" s="532"/>
      <c r="D16" s="533"/>
      <c r="F16" s="537" t="s">
        <v>2712</v>
      </c>
      <c r="G16" s="538"/>
      <c r="H16" s="537" t="s">
        <v>2712</v>
      </c>
      <c r="I16" s="539"/>
    </row>
    <row r="17" customFormat="false" ht="12.75" hidden="false" customHeight="false" outlineLevel="0" collapsed="false">
      <c r="A17" s="529" t="s">
        <v>75</v>
      </c>
      <c r="B17" s="530" t="s">
        <v>76</v>
      </c>
      <c r="C17" s="532"/>
      <c r="D17" s="533"/>
      <c r="F17" s="540" t="s">
        <v>2713</v>
      </c>
      <c r="G17" s="541"/>
      <c r="H17" s="540" t="s">
        <v>2713</v>
      </c>
      <c r="I17" s="542"/>
    </row>
    <row r="18" customFormat="false" ht="12.75" hidden="false" customHeight="false" outlineLevel="0" collapsed="false">
      <c r="A18" s="529" t="s">
        <v>78</v>
      </c>
      <c r="B18" s="530" t="s">
        <v>2714</v>
      </c>
      <c r="C18" s="532"/>
      <c r="D18" s="533"/>
      <c r="F18" s="540" t="s">
        <v>2625</v>
      </c>
      <c r="G18" s="541"/>
      <c r="H18" s="540" t="s">
        <v>2625</v>
      </c>
      <c r="I18" s="542"/>
    </row>
    <row r="19" customFormat="false" ht="12.75" hidden="false" customHeight="false" outlineLevel="0" collapsed="false">
      <c r="A19" s="529" t="s">
        <v>82</v>
      </c>
      <c r="B19" s="530" t="s">
        <v>83</v>
      </c>
      <c r="C19" s="532"/>
      <c r="D19" s="533"/>
      <c r="F19" s="540" t="s">
        <v>2715</v>
      </c>
      <c r="G19" s="541"/>
      <c r="H19" s="540" t="s">
        <v>2715</v>
      </c>
      <c r="I19" s="542"/>
    </row>
    <row r="20" customFormat="false" ht="12.75" hidden="false" customHeight="false" outlineLevel="0" collapsed="false">
      <c r="A20" s="531" t="s">
        <v>85</v>
      </c>
      <c r="B20" s="530" t="s">
        <v>86</v>
      </c>
      <c r="C20" s="532"/>
      <c r="D20" s="533"/>
      <c r="F20" s="540" t="s">
        <v>2716</v>
      </c>
      <c r="G20" s="541"/>
      <c r="H20" s="540" t="s">
        <v>2716</v>
      </c>
      <c r="I20" s="542"/>
    </row>
    <row r="21" customFormat="false" ht="12.75" hidden="false" customHeight="false" outlineLevel="0" collapsed="false">
      <c r="A21" s="531" t="s">
        <v>91</v>
      </c>
      <c r="B21" s="530" t="s">
        <v>92</v>
      </c>
      <c r="C21" s="532"/>
      <c r="D21" s="533"/>
      <c r="F21" s="540" t="s">
        <v>2717</v>
      </c>
      <c r="G21" s="541"/>
      <c r="H21" s="540" t="s">
        <v>2717</v>
      </c>
      <c r="I21" s="542"/>
    </row>
    <row r="22" customFormat="false" ht="12.75" hidden="false" customHeight="false" outlineLevel="0" collapsed="false">
      <c r="A22" s="529" t="s">
        <v>97</v>
      </c>
      <c r="B22" s="530" t="s">
        <v>98</v>
      </c>
      <c r="C22" s="532"/>
      <c r="D22" s="533"/>
      <c r="F22" s="540" t="s">
        <v>2718</v>
      </c>
      <c r="G22" s="541"/>
      <c r="H22" s="540" t="s">
        <v>2718</v>
      </c>
      <c r="I22" s="542"/>
    </row>
    <row r="23" customFormat="false" ht="12.75" hidden="false" customHeight="false" outlineLevel="0" collapsed="false">
      <c r="A23" s="529" t="s">
        <v>99</v>
      </c>
      <c r="B23" s="530" t="s">
        <v>2719</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2681</v>
      </c>
    </row>
    <row r="29" customFormat="false" ht="12.75" hidden="false" customHeight="false" outlineLevel="0" collapsed="false">
      <c r="A29" s="529" t="s">
        <v>114</v>
      </c>
      <c r="B29" s="530" t="s">
        <v>2723</v>
      </c>
      <c r="C29" s="532"/>
      <c r="D29" s="533"/>
      <c r="F29" s="547" t="s">
        <v>2684</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2013-04-08T09:03:44Z</dcterms:modified>
  <cp:revision>0</cp:revision>
  <dc:subject/>
  <dc:title>Feuille d'aide au calcul de l'IBMR</dc:title>
</cp:coreProperties>
</file>