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7959" sheetId="6" state="visible" r:id="rId8"/>
    <sheet name="jgjg" sheetId="7" state="hidden" r:id="rId9"/>
    <sheet name="liste codes réf" sheetId="8" state="hidden" r:id="rId10"/>
  </sheets>
  <definedNames>
    <definedName function="false" hidden="false" localSheetId="5" name="_xlnm.Print_Area" vbProcedure="false">'06177959'!$A$1:$Q$82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'06177959'!$A$1:$Q$82</definedName>
    <definedName function="false" hidden="false" localSheetId="5" name="_xlnm__FilterDatabase" vbProcedure="false">'06177959'!$A$1:$C$1415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<sst xmlns="http://schemas.openxmlformats.org/spreadsheetml/2006/main" count="8827" uniqueCount="3497">
  <si>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</si>
  <si>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</si>
  <si>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</si>
  <si>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</si>
  <si>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</si>
  <si>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</si>
  <si>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</si>
  <si>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</si>
  <si>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</si>
  <si>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</si>
  <si>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</si>
  <si>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</si>
  <si>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</si>
  <si>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</si>
  <si>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</si>
  <si>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</si>
  <si>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</si>
  <si>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</si>
  <si>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</si>
  <si>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</si>
  <si>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</si>
  <si>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</si>
  <si>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</si>
  <si>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</si>
  <si>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</si>
  <si>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</si>
  <si>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</si>
  <si>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</si>
  <si>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</si>
  <si>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</si>
  <si>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</si>
  <si>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</si>
  <si>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</si>
  <si>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</si>
  <si>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</si>
  <si>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</si>
  <si>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</si>
  <si>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</si>
  <si>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</si>
  <si>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</si>
  <si>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</si>
  <si>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</si>
  <si>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</si>
  <si>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</si>
  <si>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</si>
  <si>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</si>
  <si>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</si>
  <si>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</si>
  <si>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</si>
  <si>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</si>
  <si>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</si>
  <si>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</si>
  <si>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</si>
  <si>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</si>
  <si>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</si>
  <si>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</si>
  <si>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</si>
  <si>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</si>
  <si>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</si>
  <si>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</si>
  <si>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</si>
  <si>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</si>
  <si>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</si>
  <si>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</si>
  <si>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</si>
  <si>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</si>
  <si>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</si>
  <si>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</si>
  <si>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</si>
  <si>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</si>
  <si>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</si>
  <si>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</si>
  <si>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</si>
  <si>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</si>
  <si>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</si>
  <si>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</si>
  <si>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</si>
  <si>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</si>
  <si>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</si>
  <si>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</si>
  <si>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</si>
  <si>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</si>
  <si>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</si>
  <si>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</si>
  <si>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</si>
  <si>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</si>
  <si>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</si>
  <si>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</si>
  <si>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</si>
  <si>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</si>
  <si>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</si>
  <si>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</si>
  <si>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</si>
  <si>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</si>
  <si>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</si>
  <si>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</si>
  <si>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</si>
  <si>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</si>
  <si>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</si>
  <si>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</si>
  <si>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</si>
  <si>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</si>
  <si>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</si>
  <si>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</si>
  <si>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</si>
  <si>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</si>
  <si>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</si>
  <si>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</si>
  <si>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</si>
  <si>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</si>
  <si>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</si>
  <si>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</si>
  <si>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</si>
  <si>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</si>
  <si>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</si>
  <si>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</si>
  <si>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</si>
  <si>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</si>
  <si>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</si>
  <si>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</si>
  <si>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</si>
  <si>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</si>
  <si>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</si>
  <si>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</si>
  <si>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</si>
  <si>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</si>
  <si>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</si>
  <si>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</si>
  <si>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</si>
  <si>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</si>
  <si>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</si>
  <si>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</si>
  <si>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</si>
  <si>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</si>
  <si>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</si>
  <si>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</si>
  <si>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</si>
  <si>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</si>
  <si>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</si>
  <si>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</si>
  <si>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</si>
  <si>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</si>
  <si>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</si>
  <si>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</si>
  <si>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</si>
  <si>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</si>
  <si>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</si>
  <si>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</si>
  <si>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</si>
  <si>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</si>
  <si>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</si>
  <si>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</si>
  <si>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</si>
  <si>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</si>
  <si>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</si>
  <si>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</si>
  <si>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</si>
  <si>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</si>
  <si>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</si>
  <si>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</si>
  <si>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</si>
  <si>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</si>
  <si>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</si>
  <si>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</si>
  <si>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</si>
  <si>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</si>
  <si>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</si>
  <si>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</si>
  <si>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</si>
  <si>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</si>
  <si>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</si>
  <si>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</si>
  <si>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</si>
  <si>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</si>
  <si>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</si>
  <si>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</si>
  <si>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</si>
  <si>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</si>
  <si>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</si>
  <si>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</si>
  <si>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</si>
  <si>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</si>
  <si>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</si>
  <si>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</si>
  <si>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</si>
  <si>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</si>
  <si>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</si>
  <si>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</si>
  <si>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</si>
  <si>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</si>
  <si>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</si>
  <si>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</si>
  <si>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</si>
  <si>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</si>
  <si>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</si>
  <si>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</si>
  <si>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</si>
  <si>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</si>
  <si>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</si>
  <si>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</si>
  <si>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</si>
  <si>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</si>
  <si>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</si>
  <si>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</si>
  <si>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</si>
  <si>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</si>
  <si>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</si>
  <si>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</si>
  <si>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</si>
  <si>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</si>
  <si>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</si>
  <si>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</si>
  <si>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</si>
  <si>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</si>
  <si>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</si>
  <si>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</si>
  <si>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</si>
  <si>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</si>
  <si>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</si>
  <si>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</si>
  <si>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</si>
  <si>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</si>
  <si>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</si>
  <si>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</si>
  <si>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</si>
  <si>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</si>
  <si>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</si>
  <si>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</si>
  <si>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</si>
  <si>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</si>
  <si>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</si>
  <si>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</si>
  <si>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</si>
  <si>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</si>
  <si>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</si>
  <si>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</si>
  <si>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</si>
  <si>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</si>
  <si>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</si>
  <si>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</si>
  <si>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</si>
  <si>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</si>
  <si>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</si>
  <si>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</si>
  <si>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</si>
  <si>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</si>
  <si>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</si>
  <si>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</si>
  <si>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</si>
  <si>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</si>
  <si>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</si>
  <si>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</si>
  <si>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</si>
  <si>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</si>
  <si>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</si>
  <si>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</si>
  <si>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</si>
  <si>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</si>
  <si>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</si>
  <si>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</si>
  <si>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</si>
  <si>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</si>
  <si>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</si>
  <si>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</si>
  <si>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</si>
  <si>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</si>
  <si>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</si>
  <si>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</si>
  <si>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</si>
  <si>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</si>
  <si>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</si>
  <si>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</si>
  <si>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</si>
  <si>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</si>
  <si>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</si>
  <si>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</si>
  <si>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</si>
  <si>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</si>
  <si>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</si>
  <si>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</si>
  <si>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</si>
  <si>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</si>
  <si>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</si>
  <si>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</si>
  <si>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</si>
  <si>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</si>
  <si>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</si>
  <si>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</si>
  <si>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</si>
  <si>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</si>
  <si>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</si>
  <si>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</si>
  <si>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</si>
  <si>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</si>
  <si>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</si>
  <si>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</si>
  <si>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</si>
  <si>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</si>
  <si>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</si>
  <si>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</si>
  <si>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</si>
  <si>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</si>
  <si>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</si>
  <si>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</si>
  <si>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</si>
  <si>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</si>
  <si>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</si>
  <si>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</si>
  <si>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</si>
  <si>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</si>
  <si>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</si>
  <si>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</si>
  <si>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</si>
  <si>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</si>
  <si>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</si>
  <si>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</si>
  <si>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</si>
  <si>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</si>
  <si>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</si>
  <si>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</si>
  <si>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</si>
  <si>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</si>
  <si>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</si>
  <si>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</si>
  <si>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</si>
  <si>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</si>
  <si>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</si>
  <si>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</si>
  <si>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</si>
  <si>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</si>
  <si>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</si>
  <si>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</si>
  <si>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</si>
  <si>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</si>
  <si>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</si>
  <si>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</si>
  <si>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</si>
  <si>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</si>
  <si>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</si>
  <si>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</si>
  <si>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</si>
  <si>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</si>
  <si>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</si>
  <si>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</si>
  <si>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</si>
  <si>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</si>
  <si>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</si>
  <si>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</si>
  <si>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</si>
  <si>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</si>
  <si>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</si>
  <si>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</si>
  <si>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</si>
  <si>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</si>
  <si>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</si>
  <si>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</si>
  <si>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</si>
  <si>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</si>
  <si>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</si>
  <si>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</si>
  <si>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</si>
  <si>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</si>
  <si>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</si>
  <si>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</si>
  <si>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</si>
  <si>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</si>
  <si>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</si>
  <si>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</si>
  <si>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</si>
  <si>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</si>
  <si>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</si>
  <si>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</si>
  <si>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</si>
  <si>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</si>
  <si>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</si>
  <si>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</si>
  <si>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</si>
  <si>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</si>
  <si>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</si>
  <si>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</si>
  <si>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</si>
  <si>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</si>
  <si>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</si>
  <si>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</si>
  <si>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</si>
  <si>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</si>
  <si>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</si>
  <si>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</si>
  <si>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</si>
  <si>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</si>
  <si>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</si>
  <si>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</si>
  <si>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</si>
  <si>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</si>
  <si>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</si>
  <si>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</si>
  <si>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</si>
  <si>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</si>
  <si>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</si>
  <si>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</si>
  <si>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</si>
  <si>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</si>
  <si>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</si>
  <si>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</si>
  <si>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</si>
  <si>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</si>
  <si>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</si>
  <si>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</si>
  <si>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</si>
  <si>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</si>
  <si>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</si>
  <si>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</si>
  <si>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</si>
  <si>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</si>
  <si>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</si>
  <si>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</si>
  <si>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</si>
  <si>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</si>
  <si>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</si>
  <si>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</si>
  <si>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</si>
  <si>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</si>
  <si>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</si>
  <si>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</si>
  <si>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</si>
  <si>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</si>
  <si>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</si>
  <si>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</si>
  <si>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</si>
  <si>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</si>
  <si>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</si>
  <si>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</si>
  <si>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</si>
  <si>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</si>
  <si>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</si>
  <si>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</si>
  <si>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</si>
  <si>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</si>
  <si>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</si>
  <si>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</si>
  <si>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</si>
  <si>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</si>
  <si>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</si>
  <si>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</si>
  <si>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</si>
  <si>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</si>
  <si>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</si>
  <si>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</si>
  <si>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</si>
  <si>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</si>
  <si>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</si>
  <si>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</si>
  <si>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</si>
  <si>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</si>
  <si>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</si>
  <si>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</si>
  <si>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</si>
  <si>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</si>
  <si>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</si>
  <si>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</si>
  <si>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</si>
  <si>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</si>
  <si>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</si>
  <si>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</si>
  <si>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</si>
  <si>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</si>
  <si>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</si>
  <si>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</si>
  <si>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</si>
  <si>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</si>
  <si>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</si>
  <si>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</si>
  <si>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</si>
  <si>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</si>
  <si>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</si>
  <si>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</si>
  <si>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</si>
  <si>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</si>
  <si>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</si>
  <si>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</si>
  <si>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</si>
  <si>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</si>
  <si>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</si>
  <si>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</si>
  <si>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</si>
  <si>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</si>
  <si>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</si>
  <si>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</si>
  <si>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</si>
  <si>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</si>
  <si>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</si>
  <si>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</si>
  <si>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</si>
  <si>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</si>
  <si>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</si>
  <si>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</si>
  <si>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</si>
  <si>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</si>
  <si>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</si>
  <si>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</si>
  <si>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</si>
  <si>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</si>
  <si>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</si>
  <si>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</si>
  <si>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</si>
  <si>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</si>
  <si>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</si>
  <si>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</si>
  <si>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</si>
  <si>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</si>
  <si>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</si>
  <si>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</si>
  <si>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</si>
  <si>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</si>
  <si>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</si>
  <si>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</si>
  <si>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</si>
  <si>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</si>
  <si>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</si>
  <si>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</si>
  <si>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</si>
  <si>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</si>
  <si>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</si>
  <si>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</si>
  <si>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</si>
  <si>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</si>
  <si>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</si>
  <si>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</si>
  <si>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</si>
  <si>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</si>
  <si>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</si>
  <si>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</si>
  <si>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</si>
  <si>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</si>
  <si>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</si>
  <si>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</si>
  <si>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</si>
  <si>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</si>
  <si>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</si>
  <si>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</si>
  <si>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</si>
  <si>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</si>
  <si>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</si>
  <si>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</si>
  <si>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</si>
  <si>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</si>
  <si>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</si>
  <si>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</si>
  <si>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</si>
  <si>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</si>
  <si>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</si>
  <si>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</si>
  <si>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</si>
  <si>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</si>
  <si>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</si>
  <si>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</si>
  <si>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</si>
  <si>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</si>
  <si>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</si>
  <si>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</si>
  <si>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</si>
  <si>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</si>
  <si>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</si>
  <si>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</si>
  <si>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</si>
  <si>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</si>
  <si>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</si>
  <si>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</si>
  <si>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</si>
  <si>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</si>
  <si>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</si>
  <si>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</si>
  <si>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</si>
  <si>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</si>
  <si>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</si>
  <si>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</si>
  <si>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</si>
  <si>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</si>
  <si>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</si>
  <si>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</si>
  <si>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</si>
  <si>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</si>
  <si>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</si>
  <si>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</si>
  <si>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</si>
  <si>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</si>
  <si>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</si>
  <si>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</si>
  <si>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</si>
  <si>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</si>
  <si>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</si>
  <si>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</si>
  <si>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</si>
  <si>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</si>
  <si>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</si>
  <si>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</si>
  <si>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</si>
  <si>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</si>
  <si>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</si>
  <si>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</si>
  <si>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</si>
  <si>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</si>
  <si>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</si>
  <si>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</si>
  <si>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</si>
  <si>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</si>
  <si>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</si>
  <si>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</si>
  <si>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</si>
  <si>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</si>
  <si>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</si>
  <si>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</si>
  <si>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</si>
  <si>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</si>
  <si>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</si>
  <si>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</si>
  <si>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</si>
  <si>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</si>
  <si>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</si>
  <si>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</si>
  <si>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</si>
  <si>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</si>
  <si>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</si>
  <si>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</si>
  <si>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</si>
  <si>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</si>
  <si>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</si>
  <si>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</si>
  <si>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</si>
  <si>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</si>
  <si>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</si>
  <si>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</si>
  <si>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</si>
  <si>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</si>
  <si>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</si>
  <si>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</si>
  <si>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</si>
  <si>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</si>
  <si>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</si>
  <si>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</si>
  <si>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</si>
  <si>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</si>
  <si>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</si>
  <si>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</si>
  <si>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</si>
  <si>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</si>
  <si>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</si>
  <si>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</si>
  <si>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</si>
  <si>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</si>
  <si>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</si>
  <si>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</si>
  <si>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</si>
  <si>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</si>
  <si>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</si>
  <si>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</si>
  <si>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</si>
  <si>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</si>
  <si>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</si>
  <si>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</si>
  <si>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</si>
  <si>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</si>
  <si>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</si>
  <si>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</si>
  <si>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</si>
  <si>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</si>
  <si>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</si>
  <si>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</si>
  <si>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</si>
  <si>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</si>
  <si>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</si>
  <si>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</si>
  <si>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</si>
  <si>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</si>
  <si>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</si>
  <si>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</si>
  <si>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</si>
  <si>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</si>
  <si>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</si>
  <si>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</si>
  <si>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</si>
  <si>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</si>
  <si>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</si>
  <si>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</si>
  <si>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</si>
  <si>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</si>
  <si>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</si>
  <si>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</si>
  <si>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</si>
  <si>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</si>
  <si>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</si>
  <si>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</si>
  <si>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</si>
  <si>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</si>
  <si>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</si>
  <si>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</si>
  <si>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</si>
  <si>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</si>
  <si>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</si>
  <si>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</si>
  <si>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</si>
  <si>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</si>
  <si>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</si>
  <si>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</si>
  <si>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</si>
  <si>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</si>
  <si>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</si>
  <si>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</si>
  <si>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</si>
  <si>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</si>
  <si>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</si>
  <si>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</si>
  <si>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</si>
  <si>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</si>
  <si>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</si>
  <si>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</si>
  <si>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</si>
  <si>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</si>
  <si>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</si>
  <si>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</si>
  <si>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</si>
  <si>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</si>
  <si>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</si>
  <si>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</si>
  <si>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</si>
  <si>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</si>
  <si>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</si>
  <si>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</si>
  <si>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</si>
  <si>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</si>
  <si>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</si>
  <si>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</si>
  <si>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</si>
  <si>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</si>
  <si>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</si>
  <si>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</si>
  <si>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</si>
  <si>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</si>
  <si>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</si>
  <si>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</si>
  <si>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</si>
  <si>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</si>
  <si>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</si>
  <si>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</si>
  <si>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</si>
  <si>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</si>
  <si>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</si>
  <si>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</si>
  <si>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</si>
  <si>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</si>
  <si>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</si>
  <si>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</si>
  <si>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</si>
  <si>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</si>
  <si>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</si>
  <si>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</si>
  <si>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</si>
  <si>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</si>
  <si>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</si>
  <si>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</si>
  <si>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</si>
  <si>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</si>
  <si>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</si>
  <si>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</si>
  <si>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</si>
  <si>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</si>
  <si>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</si>
  <si>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</si>
  <si>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</si>
  <si>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</si>
  <si>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</si>
  <si>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</si>
  <si>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</si>
  <si>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</si>
  <si>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</si>
  <si>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</si>
  <si>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</si>
  <si>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</si>
  <si>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</si>
  <si>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</si>
  <si>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</si>
  <si>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</si>
  <si>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</si>
  <si>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</si>
  <si>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</si>
  <si>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</si>
  <si>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</si>
  <si>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</si>
  <si>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</si>
  <si>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</si>
  <si>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</si>
  <si>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</si>
  <si>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</si>
  <si>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</si>
  <si>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</si>
  <si>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</si>
  <si>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</si>
  <si>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</si>
  <si>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</si>
  <si>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</si>
  <si>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</si>
  <si>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</si>
  <si>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</si>
  <si>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</si>
  <si>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</si>
  <si>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</si>
  <si>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</si>
  <si>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</si>
  <si>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</si>
  <si>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</si>
  <si>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</si>
  <si>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</si>
  <si>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</si>
  <si>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</si>
  <si>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</si>
  <si>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</si>
  <si>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</si>
  <si>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</si>
  <si>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</si>
  <si>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</si>
  <si>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</si>
  <si>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</si>
  <si>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</si>
  <si>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</si>
  <si>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</si>
  <si>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</si>
  <si>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</si>
  <si>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</si>
  <si>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</si>
  <si>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</si>
  <si>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</si>
  <si>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</si>
  <si>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</si>
  <si>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</si>
  <si>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</si>
  <si>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</si>
  <si>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</si>
  <si>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</si>
  <si>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</si>
  <si>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</si>
  <si>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</si>
  <si>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</si>
  <si>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</si>
  <si>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</si>
  <si>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</si>
  <si>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</si>
  <si>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</si>
  <si>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</si>
  <si>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</si>
  <si>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</si>
  <si>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</si>
  <si>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</si>
  <si>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</si>
  <si>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</si>
  <si>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</si>
  <si>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</si>
  <si>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</si>
  <si>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</si>
  <si>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</si>
  <si>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</si>
  <si>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</si>
  <si>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</si>
  <si>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</si>
  <si>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</si>
  <si>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</si>
  <si>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</si>
  <si>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</si>
  <si>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</si>
  <si>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</si>
  <si>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</si>
  <si>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</si>
  <si>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</si>
  <si>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</si>
  <si>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</si>
  <si>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</si>
  <si>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</si>
  <si>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</si>
  <si>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</si>
  <si>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</si>
  <si>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</si>
  <si>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</si>
  <si>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</si>
  <si>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</si>
  <si>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</si>
  <si>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</si>
  <si>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</si>
  <si>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</si>
  <si>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</si>
  <si>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</si>
  <si>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</si>
  <si>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</si>
  <si>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</si>
  <si>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</si>
  <si>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</si>
  <si>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</si>
  <si>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</si>
  <si>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</si>
  <si>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</si>
  <si>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</si>
  <si>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</si>
  <si>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</si>
  <si>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</si>
  <si>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</si>
  <si>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</si>
  <si>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</si>
  <si>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</si>
  <si>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</si>
  <si>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</si>
  <si>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</si>
  <si>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</si>
  <si>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</si>
  <si>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</si>
  <si>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</si>
  <si>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</si>
  <si>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</si>
  <si>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</si>
  <si>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</si>
  <si>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</si>
  <si>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</si>
  <si>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</si>
  <si>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</si>
  <si>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</si>
  <si>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</si>
  <si>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</si>
  <si>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</si>
  <si>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</si>
  <si>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</si>
  <si>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</si>
  <si>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</si>
  <si>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</si>
  <si>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</si>
  <si>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</si>
  <si>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</si>
  <si>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</si>
  <si>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</si>
  <si>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</si>
  <si>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</si>
  <si>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</si>
  <si>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</si>
  <si>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</si>
  <si>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</si>
  <si>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</si>
  <si>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</si>
  <si>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</si>
  <si>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</si>
  <si>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</si>
  <si>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</si>
  <si>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</si>
  <si>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</si>
  <si>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</si>
  <si>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</si>
  <si>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</si>
  <si>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</si>
  <si>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</si>
  <si>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</si>
  <si>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</si>
  <si>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</si>
  <si>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</si>
  <si>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</si>
  <si>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</si>
  <si>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</si>
  <si>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</si>
  <si>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</si>
  <si>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</si>
  <si>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</si>
  <si>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</si>
  <si>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</si>
  <si>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</si>
  <si>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</si>
  <si>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</si>
  <si>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</si>
  <si>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</si>
  <si>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</si>
  <si>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</si>
  <si>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</si>
  <si>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</si>
  <si>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</si>
  <si>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</si>
  <si>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</si>
  <si>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</si>
  <si>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</si>
  <si>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</si>
  <si>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</si>
  <si>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</si>
  <si>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</si>
  <si>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</si>
  <si>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</si>
  <si>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</si>
  <si>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</si>
  <si>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</si>
  <si>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</si>
  <si>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</si>
  <si>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</si>
  <si>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</si>
  <si>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</si>
  <si>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</si>
  <si>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</si>
  <si>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</si>
  <si>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</si>
  <si>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</si>
  <si>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</si>
  <si>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</si>
  <si>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</si>
  <si>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</si>
  <si>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</si>
  <si>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</si>
  <si>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</si>
  <si>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</si>
  <si>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</si>
  <si>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</si>
  <si>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</si>
  <si>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</si>
  <si>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</si>
  <si>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</si>
  <si>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</si>
  <si>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</si>
  <si>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</si>
  <si>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</si>
  <si>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</si>
  <si>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</si>
  <si>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</si>
  <si>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</si>
  <si>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</si>
  <si>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</si>
  <si>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</si>
  <si>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</si>
  <si>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</si>
  <si>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</si>
  <si>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</si>
  <si>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</si>
  <si>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</si>
  <si>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</si>
  <si>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</si>
  <si>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</si>
  <si>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</si>
  <si>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</si>
  <si>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</si>
  <si>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</si>
  <si>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</si>
  <si>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</si>
  <si>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</si>
  <si>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</si>
  <si>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</si>
  <si>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</si>
  <si>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</si>
  <si>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</si>
  <si>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</si>
  <si>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</si>
  <si>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</si>
  <si>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</si>
  <si>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</si>
  <si>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</si>
  <si>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</si>
  <si>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</si>
  <si>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</si>
  <si>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</si>
  <si>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</si>
  <si>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</si>
  <si>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</si>
  <si>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</si>
  <si>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</si>
  <si>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</si>
  <si>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</si>
  <si>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</si>
  <si>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</si>
  <si>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</si>
  <si>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</si>
  <si>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</si>
  <si>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</si>
  <si>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</si>
  <si>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</si>
  <si>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</si>
  <si>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</si>
  <si>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</si>
  <si>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</si>
  <si>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</si>
  <si>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</si>
  <si>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</si>
  <si>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</si>
  <si>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</si>
  <si>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</si>
  <si>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</si>
  <si>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</si>
  <si>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</si>
  <si>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</si>
  <si>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</si>
  <si>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</si>
  <si>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</si>
  <si>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</si>
  <si>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</si>
  <si>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</si>
  <si>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</si>
  <si>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</si>
  <si>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</si>
  <si>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</si>
  <si>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</si>
  <si>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</si>
  <si>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</si>
  <si>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</si>
  <si>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</si>
  <si>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</si>
  <si>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</si>
  <si>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</si>
  <si>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</si>
  <si>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</si>
  <si>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</si>
  <si>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</si>
  <si>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</si>
  <si>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</si>
  <si>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</si>
  <si>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</si>
  <si>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</si>
  <si>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</si>
  <si>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</si>
  <si>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</si>
  <si>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</si>
  <si>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</si>
  <si>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</si>
  <si>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</si>
  <si>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</si>
  <si>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</si>
  <si>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</si>
  <si>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</si>
  <si>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</si>
  <si>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</si>
  <si>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</si>
  <si>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</si>
  <si>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</si>
  <si>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</si>
  <si>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</si>
  <si>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</si>
  <si>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</si>
  <si>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</si>
  <si>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</si>
  <si>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</si>
  <si>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</si>
  <si>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</si>
  <si>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</si>
  <si>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</si>
  <si>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</si>
  <si>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</si>
  <si>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</si>
  <si>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</si>
  <si>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</si>
  <si>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</si>
  <si>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</si>
  <si>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</si>
  <si>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</si>
  <si>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</si>
  <si>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</si>
  <si>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</si>
  <si>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</si>
  <si>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</si>
  <si>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</si>
  <si>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</si>
  <si>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</si>
  <si>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</si>
  <si>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</si>
  <si>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</si>
  <si>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</si>
  <si>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</si>
  <si>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</si>
  <si>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</si>
  <si>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</si>
  <si>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</si>
  <si>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</si>
  <si>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</si>
  <si>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</si>
  <si>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</si>
  <si>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</si>
  <si>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</si>
  <si>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</si>
  <si>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</si>
  <si>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</si>
  <si>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</si>
  <si>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</si>
  <si>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</si>
  <si>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</si>
  <si>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</si>
  <si>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</si>
  <si>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</si>
  <si>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</si>
  <si>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</si>
  <si>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</si>
  <si>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</si>
  <si>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</si>
  <si>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</si>
  <si>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</si>
  <si>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</si>
  <si>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</si>
  <si>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</si>
  <si>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</si>
  <si>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</si>
  <si>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</si>
  <si>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</si>
  <si>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</si>
  <si>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</si>
  <si>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</si>
  <si>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</si>
  <si>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</si>
  <si>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</si>
  <si>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</si>
  <si>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</si>
  <si>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</si>
  <si>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</si>
  <si>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</si>
  <si>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</si>
  <si>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</si>
  <si>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</si>
  <si>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</si>
  <si>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</si>
  <si>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</si>
  <si>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</si>
  <si>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</si>
  <si>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</si>
  <si>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</si>
  <si>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</si>
  <si>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</si>
  <si>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</si>
  <si>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</si>
  <si>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</si>
  <si>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</si>
  <si>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</si>
  <si>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</si>
  <si>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</si>
  <si>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</si>
  <si>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</si>
  <si>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</si>
  <si>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</si>
  <si>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</si>
  <si>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</si>
  <si>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</si>
  <si>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</si>
  <si>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</si>
  <si>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</si>
  <si>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</si>
  <si>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</si>
  <si>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</si>
  <si>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</si>
  <si>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</si>
  <si>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</si>
  <si>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</si>
  <si>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</si>
  <si>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</si>
  <si>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</si>
  <si>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</si>
  <si>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</si>
  <si>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</si>
  <si>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</si>
  <si>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</si>
  <si>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</si>
  <si>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</si>
  <si>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</si>
  <si>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</si>
  <si>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</si>
  <si>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</si>
  <si>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</si>
  <si>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</si>
  <si>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</si>
  <si>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</si>
  <si>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</si>
  <si>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</si>
  <si>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</si>
  <si>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</si>
  <si>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</si>
  <si>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</si>
  <si>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</si>
  <si>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</si>
  <si>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</si>
  <si>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</si>
  <si>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</si>
  <si>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</si>
  <si>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</si>
  <si>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</si>
  <si>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</si>
  <si>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</si>
  <si>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</si>
  <si>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</si>
  <si>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</si>
  <si>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</si>
  <si>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</si>
  <si>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</si>
  <si>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</si>
  <si>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</si>
  <si>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</si>
  <si>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</si>
  <si>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</si>
  <si>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</si>
  <si>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</si>
  <si>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</si>
  <si>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</si>
  <si>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</si>
  <si>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</si>
  <si>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</si>
  <si>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</si>
  <si>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</si>
  <si>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</si>
  <si>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</si>
  <si>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</si>
  <si>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</si>
  <si>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</si>
  <si>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</si>
  <si>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</si>
  <si>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</si>
  <si>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</si>
  <si>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</si>
  <si>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</si>
  <si>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</si>
  <si>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</si>
  <si>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</si>
  <si>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</si>
  <si>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</si>
  <si>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</si>
  <si>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</si>
  <si>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</si>
  <si>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</si>
  <si>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</si>
  <si>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</si>
  <si>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</si>
  <si>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</si>
  <si>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</si>
  <si>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</si>
  <si>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</si>
  <si>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</si>
  <si>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</si>
  <si>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</si>
  <si>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</si>
  <si>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</si>
  <si>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</si>
  <si>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</si>
  <si>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</si>
  <si>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</si>
  <si>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</si>
  <si>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</si>
  <si>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</si>
  <si>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</si>
  <si>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</si>
  <si>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</si>
  <si>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</si>
  <si>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</si>
  <si>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</si>
  <si>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</si>
  <si>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</si>
  <si>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</si>
  <si>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</si>
  <si>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</si>
  <si>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</si>
  <si>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</si>
  <si>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</si>
  <si>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</si>
  <si>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</si>
  <si>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</si>
  <si>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</si>
  <si>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</si>
  <si>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</si>
  <si>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</si>
  <si>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</si>
  <si>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</si>
  <si>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</si>
  <si>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</si>
  <si>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</si>
  <si>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</si>
  <si>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</si>
  <si>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</si>
  <si>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</si>
  <si>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</si>
  <si>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</si>
  <si>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</si>
  <si>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</si>
  <si>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</si>
  <si>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</si>
  <si>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</si>
  <si>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</si>
  <si>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</si>
  <si>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</si>
  <si>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</si>
  <si>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</si>
  <si>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</si>
  <si>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</si>
  <si>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</si>
  <si>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</si>
  <si>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</si>
  <si>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</si>
  <si>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</si>
  <si>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</si>
  <si>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</si>
  <si>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</si>
  <si>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</si>
  <si>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</si>
  <si>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</si>
  <si>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</si>
  <si>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</si>
  <si>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</si>
  <si>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</si>
  <si>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</si>
  <si>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</si>
  <si>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</si>
  <si>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</si>
  <si>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</si>
  <si>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</si>
  <si>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</si>
  <si>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</si>
  <si>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</si>
  <si>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</si>
  <si>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</si>
  <si>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</si>
  <si>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</si>
  <si>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</si>
  <si>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</si>
  <si>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</si>
  <si>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</si>
  <si>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</si>
  <si>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</si>
  <si>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</si>
  <si>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</si>
  <si>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</si>
  <si>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</si>
  <si>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</si>
  <si>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</si>
  <si>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</si>
  <si>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</si>
  <si>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</si>
  <si>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</si>
  <si>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</si>
  <si>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</si>
  <si>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</si>
  <si>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</si>
  <si>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</si>
  <si>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</si>
  <si>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</si>
  <si>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</si>
  <si>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</si>
  <si>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</si>
  <si>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</si>
  <si>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</si>
  <si>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</si>
  <si>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</si>
  <si>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</si>
  <si>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</si>
  <si>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</si>
  <si>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</si>
  <si>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</si>
  <si>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</si>
  <si>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</si>
  <si>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</si>
  <si>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</si>
  <si>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</si>
  <si>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</si>
  <si>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</si>
  <si>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</si>
  <si>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</si>
  <si>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</si>
  <si>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</si>
  <si>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</si>
  <si>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</si>
  <si>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</si>
  <si>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</si>
  <si>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</si>
  <si>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</si>
  <si>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</si>
  <si>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</si>
  <si>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</si>
  <si>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</si>
  <si>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</si>
  <si>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</si>
  <si>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</si>
  <si>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</si>
  <si>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</si>
  <si>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</si>
  <si>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</si>
  <si>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</si>
  <si>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</si>
  <si>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</si>
  <si>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</si>
  <si>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</si>
  <si>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</si>
  <si>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</si>
  <si>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</si>
  <si>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</si>
  <si>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</si>
  <si>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</si>
  <si>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</si>
  <si>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</si>
  <si>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</si>
  <si>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</si>
  <si>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</si>
  <si>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</si>
  <si>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</si>
  <si>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</si>
  <si>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</si>
  <si>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</si>
  <si>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</si>
  <si>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</si>
  <si>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</si>
  <si>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</si>
  <si>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</si>
  <si>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</si>
  <si>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</si>
  <si>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</si>
  <si>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</si>
  <si>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</si>
  <si>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</si>
  <si>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</si>
  <si>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</si>
  <si>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</si>
  <si>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</si>
  <si>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</si>
  <si>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</si>
  <si>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</si>
  <si>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</si>
  <si>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</si>
  <si>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</si>
  <si>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</si>
  <si>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</si>
  <si>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</si>
  <si>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</si>
  <si>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</si>
  <si>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</si>
  <si>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</si>
  <si>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</si>
  <si>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</si>
  <si>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</si>
  <si>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</si>
  <si>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</si>
  <si>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</si>
  <si>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</si>
  <si>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</si>
  <si>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</si>
  <si>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</si>
  <si>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</si>
  <si>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</si>
  <si>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</si>
  <si>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</si>
  <si>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</si>
  <si>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</si>
  <si>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</si>
  <si>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</si>
  <si>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</si>
  <si>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</si>
  <si>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</si>
  <si>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</si>
  <si>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</si>
  <si>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</si>
  <si>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</si>
  <si>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</si>
  <si>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</si>
  <si>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</si>
  <si>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</si>
  <si>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</si>
  <si>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</si>
  <si>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</si>
  <si>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</si>
  <si>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</si>
  <si>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</si>
  <si>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</si>
  <si>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</si>
  <si>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</si>
  <si>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</si>
  <si>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</si>
  <si>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</si>
  <si>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</si>
  <si>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</si>
  <si>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</si>
  <si>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</si>
  <si>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</si>
  <si>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</si>
  <si>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</si>
  <si>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</si>
  <si>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</si>
  <si>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</si>
  <si>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</si>
  <si>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</si>
  <si>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</si>
  <si>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</si>
  <si>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</si>
  <si>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</si>
  <si>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</si>
  <si>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</si>
  <si>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</si>
  <si>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</si>
  <si>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</si>
  <si>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</si>
  <si>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</si>
  <si>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</si>
  <si>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</si>
  <si>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</si>
  <si>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</si>
  <si>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</si>
  <si>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</si>
  <si>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</si>
  <si>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</si>
  <si>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</si>
  <si>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</si>
  <si>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</si>
  <si>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</si>
  <si>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</si>
  <si>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</si>
  <si>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</si>
  <si>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</si>
  <si>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</si>
  <si>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</si>
  <si>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</si>
  <si>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</si>
  <si>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</si>
  <si>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</si>
  <si>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</si>
  <si>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</si>
  <si>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</si>
  <si>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</si>
  <si>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</si>
  <si>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</si>
  <si>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</si>
  <si>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</si>
  <si>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</si>
  <si>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</si>
  <si>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</si>
  <si>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</si>
  <si>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</si>
  <si>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</si>
  <si>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</si>
  <si>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</si>
  <si>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</si>
  <si>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</si>
  <si>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</si>
  <si>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</si>
  <si>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</si>
  <si>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</si>
  <si>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</si>
  <si>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</si>
  <si>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</si>
  <si>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</si>
  <si>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</si>
  <si>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</si>
  <si>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</si>
  <si>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</si>
  <si>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</si>
  <si>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</si>
  <si>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</si>
  <si>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</si>
  <si>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</si>
  <si>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</si>
  <si>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</si>
  <si>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</si>
  <si>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</si>
  <si>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</si>
  <si>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</si>
  <si>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</si>
  <si>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</si>
  <si>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</si>
  <si>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</si>
  <si>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</si>
  <si>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</si>
  <si>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</si>
  <si>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</si>
  <si>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</si>
  <si>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</si>
  <si>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</si>
  <si>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</si>
  <si>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</si>
  <si>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</si>
  <si>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</si>
  <si>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</si>
  <si>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</si>
  <si>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</si>
  <si>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</si>
  <si>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</si>
  <si>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</si>
  <si>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</si>
  <si>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</si>
  <si>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</si>
  <si>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</si>
  <si>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</si>
  <si>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</si>
  <si>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</si>
  <si>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</si>
  <si>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</si>
  <si>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</si>
  <si>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</si>
  <si>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</si>
  <si>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</si>
  <si>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</si>
  <si>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</si>
  <si>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</si>
  <si>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</si>
  <si>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</si>
  <si>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</si>
  <si>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</si>
  <si>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</si>
  <si>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</si>
  <si>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</si>
  <si>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</si>
  <si>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</si>
  <si>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</si>
  <si>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</si>
  <si>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</si>
  <si>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</si>
  <si>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</si>
  <si>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</si>
  <si>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</si>
  <si>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</si>
  <si>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</si>
  <si>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</si>
  <si>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</si>
  <si>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</si>
  <si>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</si>
  <si>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</si>
  <si>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</si>
  <si>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</si>
  <si>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</si>
  <si>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</si>
  <si>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</si>
  <si>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</si>
  <si>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</si>
  <si>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</si>
  <si>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</si>
  <si>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</si>
  <si>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</si>
  <si>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</si>
  <si>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</si>
  <si>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</si>
  <si>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</si>
  <si>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</si>
  <si>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</si>
  <si>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</si>
  <si>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</si>
  <si>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</si>
  <si>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</si>
  <si>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</si>
  <si>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</si>
  <si>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</si>
  <si>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</si>
  <si>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</si>
  <si>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</si>
  <si>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</si>
  <si>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</si>
  <si>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</si>
  <si>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</si>
  <si>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</si>
  <si>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</si>
  <si>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</si>
  <si>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</si>
  <si>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</si>
  <si>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</si>
  <si>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</si>
  <si>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</si>
  <si>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</si>
  <si>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</si>
  <si>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</si>
  <si>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</si>
  <si>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</si>
  <si>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</si>
  <si>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</si>
  <si>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</si>
  <si>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</si>
  <si>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</si>
  <si>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</si>
  <si>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</si>
  <si>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</si>
  <si>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</si>
  <si>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</si>
  <si>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</si>
  <si>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</si>
  <si>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</si>
  <si>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</si>
  <si>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</si>
  <si>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</si>
  <si>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</si>
  <si>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</si>
  <si>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</si>
  <si>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</si>
  <si>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</si>
  <si>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</si>
  <si>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</si>
  <si>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</si>
  <si>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</si>
  <si>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</si>
  <si>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</si>
  <si>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</si>
  <si>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</si>
  <si>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</si>
  <si>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</si>
  <si>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</si>
  <si>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</si>
  <si>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</si>
  <si>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</si>
  <si>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</si>
  <si>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</si>
  <si>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</si>
  <si>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</si>
  <si>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</si>
  <si>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</si>
  <si>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</si>
  <si>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</si>
  <si>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</si>
  <si>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</si>
  <si>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</si>
  <si>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</si>
  <si>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</si>
  <si>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</si>
  <si>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</si>
  <si>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</si>
  <si>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</si>
  <si>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</si>
  <si>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</si>
  <si>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</si>
  <si>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</si>
  <si>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</si>
  <si>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</si>
  <si>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</si>
  <si>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</si>
  <si>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</si>
  <si>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</si>
  <si>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</si>
  <si>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</si>
  <si>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</si>
  <si>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</si>
  <si>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</si>
  <si>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</si>
  <si>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</si>
  <si>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</si>
  <si>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</si>
  <si>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</si>
  <si>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</si>
  <si>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</si>
  <si>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</si>
  <si>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</si>
  <si>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</si>
  <si>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</si>
  <si>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</si>
  <si>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</si>
  <si>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</si>
  <si>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</si>
  <si>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</si>
  <si>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</si>
  <si>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</si>
  <si>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</si>
  <si>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</si>
  <si>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</si>
  <si>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</si>
  <si>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</si>
  <si>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</si>
  <si>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</si>
  <si>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</si>
  <si>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</si>
  <si>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</si>
  <si>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</si>
  <si>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</si>
  <si>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</si>
  <si>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</si>
  <si>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</si>
  <si>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</si>
  <si>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</si>
  <si>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</si>
  <si>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</si>
  <si>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</si>
  <si>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</si>
  <si>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</si>
  <si>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</si>
  <si>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</si>
  <si>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</si>
  <si>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</si>
  <si>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</si>
  <si>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</si>
  <si>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</si>
  <si>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</si>
  <si>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</si>
  <si>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</si>
  <si>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</si>
  <si>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</si>
  <si>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</si>
  <si>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</si>
  <si>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</si>
  <si>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</si>
  <si>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</si>
  <si>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</si>
  <si>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</si>
  <si>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</si>
  <si>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</si>
  <si>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</si>
  <si>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</si>
  <si>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</si>
  <si>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</si>
  <si>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</si>
  <si>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</si>
  <si>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</si>
  <si>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</si>
  <si>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</si>
  <si>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</si>
  <si>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</si>
  <si>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</si>
  <si>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</si>
  <si>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</si>
  <si>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</si>
  <si>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</si>
  <si>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</si>
  <si>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</si>
  <si>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</si>
  <si>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</si>
  <si>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</si>
  <si>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</si>
  <si>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</si>
  <si>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</si>
  <si>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</si>
  <si>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</si>
  <si>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</si>
  <si>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</si>
  <si>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</si>
  <si>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</si>
  <si>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</si>
  <si>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</si>
  <si>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</si>
  <si>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</si>
  <si>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</si>
  <si>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</si>
  <si>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</si>
  <si>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</si>
  <si>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</si>
  <si>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</si>
  <si>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</si>
  <si>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</si>
  <si>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</si>
  <si>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</si>
  <si>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</si>
  <si>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</si>
  <si>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</si>
  <si>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</si>
  <si>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</si>
  <si>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</si>
  <si>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</si>
  <si>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</si>
  <si>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</si>
  <si>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</si>
  <si>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</si>
  <si>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</si>
  <si>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</si>
  <si>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</si>
  <si>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</si>
  <si>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</si>
  <si>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</si>
  <si>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</si>
  <si>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</si>
  <si>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</si>
  <si>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</si>
  <si>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</si>
  <si>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</si>
  <si>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</si>
  <si>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</si>
  <si>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</si>
  <si>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</si>
  <si>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</si>
  <si>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</si>
  <si>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</si>
  <si>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</si>
  <si>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</si>
  <si>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</si>
  <si>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</si>
  <si>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</si>
  <si>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</si>
  <si>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</si>
  <si>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</si>
  <si>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</si>
  <si>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</si>
  <si>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</si>
  <si>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</si>
  <si>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</si>
  <si>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</si>
  <si>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</si>
  <si>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</si>
  <si>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</si>
  <si>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</si>
  <si>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</si>
  <si>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</si>
  <si>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</si>
  <si>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</si>
  <si>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</si>
  <si>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</si>
  <si>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</si>
  <si>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</si>
  <si>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</si>
  <si>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</si>
  <si>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</si>
  <si>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</si>
  <si>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</si>
  <si>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</si>
  <si>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</si>
  <si>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</si>
  <si>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</si>
  <si>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</si>
  <si>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</si>
  <si>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</si>
  <si>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</si>
  <si>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</si>
  <si>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</si>
  <si>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</si>
  <si>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</si>
  <si>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</si>
  <si>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</si>
  <si>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</si>
  <si>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</si>
  <si>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</si>
  <si>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</si>
  <si>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</si>
  <si>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</si>
  <si>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</si>
  <si>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</si>
  <si>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</si>
  <si>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</si>
  <si>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</si>
  <si>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</si>
  <si>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</si>
  <si>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</si>
  <si>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</si>
  <si>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</si>
  <si>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</si>
  <si>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</si>
  <si>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</si>
  <si>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</si>
  <si>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</si>
  <si>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</si>
  <si>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</si>
  <si>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</si>
  <si>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</si>
  <si>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</si>
  <si>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</si>
  <si>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</si>
  <si>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</si>
  <si>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</si>
  <si>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</si>
  <si>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</si>
  <si>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</si>
  <si>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</si>
  <si>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</si>
  <si>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</si>
  <si>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</si>
  <si>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</si>
  <si>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</si>
  <si>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</si>
  <si>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</si>
  <si>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</si>
  <si>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</si>
  <si>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</si>
  <si>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</si>
  <si>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</si>
  <si>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</si>
  <si>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</si>
  <si>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</si>
  <si>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</si>
  <si>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</si>
  <si>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</si>
  <si>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</si>
  <si>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</si>
  <si>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</si>
  <si>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</si>
  <si>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</si>
  <si>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</si>
  <si>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</si>
  <si>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</si>
  <si>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</si>
  <si>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</si>
  <si>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</si>
  <si>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</si>
  <si>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</si>
  <si>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</si>
  <si>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</si>
  <si>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</si>
  <si>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</si>
  <si>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</si>
  <si>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</si>
  <si>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</si>
  <si>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</si>
  <si>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</si>
  <si>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</si>
  <si>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</si>
  <si>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</si>
  <si>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</si>
  <si>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</si>
  <si>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</si>
  <si>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</si>
  <si>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</si>
  <si>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</si>
  <si>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</si>
  <si>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</si>
  <si>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</si>
  <si>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</si>
  <si>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</si>
  <si>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</si>
  <si>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</si>
  <si>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</si>
  <si>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</si>
  <si>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</si>
  <si>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</si>
  <si>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</si>
  <si>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</si>
  <si>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</si>
  <si>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</si>
  <si>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</si>
  <si>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</si>
  <si>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</si>
  <si>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</si>
  <si>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</si>
  <si>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</si>
  <si>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</si>
  <si>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</si>
  <si>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</si>
  <si>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</si>
  <si>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</si>
  <si>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</si>
  <si>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</si>
  <si>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</si>
  <si>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</si>
  <si>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</si>
  <si>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</si>
  <si>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</si>
  <si>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</si>
  <si>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</si>
  <si>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</si>
  <si>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</si>
  <si>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</si>
  <si>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</si>
  <si>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</si>
  <si>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</si>
  <si>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</si>
  <si>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</si>
  <si>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</si>
  <si>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</si>
  <si>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</si>
  <si>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</si>
  <si>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</si>
  <si>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</si>
  <si>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</si>
  <si>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</si>
  <si>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</si>
  <si>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</si>
  <si>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</si>
  <si>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</si>
  <si>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</si>
  <si>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</si>
  <si>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</si>
  <si>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</si>
  <si>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</si>
  <si>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</si>
  <si>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</si>
  <si>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</si>
  <si>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</si>
  <si>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</si>
  <si>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</si>
  <si>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</si>
  <si>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</si>
  <si>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</si>
  <si>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</si>
  <si>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</si>
  <si>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</si>
  <si>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</si>
  <si>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</si>
  <si>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</si>
  <si>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</si>
  <si>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</si>
  <si>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</si>
  <si>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</si>
  <si>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</si>
  <si>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</si>
  <si>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</si>
  <si>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</si>
  <si>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</si>
  <si>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</si>
  <si>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</si>
  <si>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</si>
  <si>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</si>
  <si>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</si>
  <si>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</si>
  <si>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</si>
  <si>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</si>
  <si>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</si>
  <si>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</si>
  <si>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</si>
  <si>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</si>
  <si>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</si>
  <si>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</si>
  <si>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</si>
  <si>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</si>
  <si>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</si>
  <si>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</si>
  <si>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</si>
  <si>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</si>
  <si>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</si>
  <si>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</si>
  <si>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</si>
  <si>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</si>
  <si>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</si>
  <si>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</si>
  <si>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</si>
  <si>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</si>
  <si>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</si>
  <si>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</si>
  <si>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</si>
  <si>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</si>
  <si>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</si>
  <si>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</si>
  <si>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</si>
  <si>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</si>
  <si>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</si>
  <si>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</si>
  <si>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</si>
  <si>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</si>
  <si>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</si>
  <si>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</si>
  <si>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</si>
  <si>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</si>
  <si>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</si>
  <si>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</si>
  <si>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</si>
  <si>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</si>
  <si>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</si>
  <si>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</si>
  <si>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</si>
  <si>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</si>
  <si>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</si>
  <si>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</si>
  <si>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</si>
  <si>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</si>
  <si>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</si>
  <si>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</si>
  <si>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</si>
  <si>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</si>
  <si>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</si>
  <si>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</si>
  <si>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</si>
  <si>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</si>
  <si>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</si>
  <si>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</si>
  <si>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</si>
  <si>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</si>
  <si>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</si>
  <si>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</si>
  <si>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</si>
  <si>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</si>
  <si>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</si>
  <si>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</si>
  <si>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</si>
  <si>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</si>
  <si>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</si>
  <si>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</si>
  <si>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</si>
  <si>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</si>
  <si>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</si>
  <si>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</si>
  <si>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</si>
  <si>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</si>
  <si>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</si>
  <si>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</si>
  <si>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</si>
  <si>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</si>
  <si>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</si>
  <si>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</si>
  <si>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</si>
  <si>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</si>
  <si>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</si>
  <si>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</si>
  <si>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</si>
  <si>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</si>
  <si>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</si>
  <si>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</si>
  <si>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</si>
  <si>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</si>
  <si>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</si>
  <si>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</si>
  <si>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</si>
  <si>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</si>
  <si>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</si>
  <si>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</si>
  <si>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</si>
  <si>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</si>
  <si>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</si>
  <si>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</si>
  <si>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</si>
  <si>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</si>
  <si>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</si>
  <si>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</si>
  <si>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</si>
  <si>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</si>
  <si>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</si>
  <si>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</si>
  <si>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</si>
  <si>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</si>
  <si>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</si>
  <si>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</si>
  <si>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</si>
  <si>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</si>
  <si>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</si>
  <si>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</si>
  <si>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</si>
  <si>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</si>
  <si>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</si>
  <si>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</si>
  <si>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</si>
  <si>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</si>
  <si>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</si>
  <si>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</si>
  <si>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</si>
  <si>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</si>
  <si>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</si>
  <si>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</si>
  <si>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</si>
  <si>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</si>
  <si>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</si>
  <si>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</si>
  <si>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</si>
  <si>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</si>
  <si>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</si>
  <si>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</si>
  <si>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</si>
  <si>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</si>
  <si>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</si>
  <si>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</si>
  <si>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</si>
  <si>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</si>
  <si>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</si>
  <si>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</si>
  <si>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</si>
  <si>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</si>
  <si>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</si>
  <si>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</si>
  <si>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</si>
  <si>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</si>
  <si>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</si>
  <si>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</si>
  <si>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</si>
  <si>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</si>
  <si>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</si>
  <si>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</si>
  <si>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</si>
  <si>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</si>
  <si>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</si>
  <si>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</si>
  <si>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</si>
  <si>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</si>
  <si>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</si>
  <si>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</si>
  <si>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</si>
  <si>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</si>
  <si>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</si>
  <si>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</si>
  <si>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</si>
  <si>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</si>
  <si>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</si>
  <si>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</si>
  <si>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</si>
  <si>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</si>
  <si>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</si>
  <si>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</si>
  <si>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</si>
  <si>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</si>
  <si>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</si>
  <si>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</si>
  <si>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</si>
  <si>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</si>
  <si>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</si>
  <si>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</si>
  <si>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</si>
  <si>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</si>
  <si>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</si>
  <si>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</si>
  <si>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</si>
  <si>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</si>
  <si>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</si>
  <si>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</si>
  <si>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</si>
  <si>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</si>
  <si>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</si>
  <si>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</si>
  <si>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</si>
  <si>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</si>
  <si>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</si>
  <si>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</si>
  <si>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</si>
  <si>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</si>
  <si>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</si>
  <si>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</si>
  <si>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</si>
  <si>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</si>
  <si>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</si>
  <si>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</si>
  <si>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</si>
  <si>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</si>
  <si>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</si>
  <si>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</si>
  <si>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</si>
  <si>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</si>
  <si>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</si>
  <si>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</si>
  <si>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</si>
  <si>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</si>
  <si>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</si>
  <si>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</si>
  <si>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</si>
  <si>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</si>
  <si>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</si>
  <si>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</si>
  <si>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</si>
  <si>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</si>
  <si>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</si>
  <si>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</si>
  <si>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</si>
  <si>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</si>
  <si>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</si>
  <si>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</si>
  <si>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</si>
  <si>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</si>
  <si>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</si>
  <si>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</si>
  <si>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</si>
  <si>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</si>
  <si>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</si>
  <si>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</si>
  <si>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</si>
  <si>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</si>
  <si>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</si>
  <si>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</si>
  <si>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</si>
  <si>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</si>
  <si>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</si>
  <si>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</si>
  <si>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</si>
  <si>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</si>
  <si>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</si>
  <si>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</si>
  <si>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</si>
  <si>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</si>
  <si>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</si>
  <si>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</si>
  <si>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</si>
  <si>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</si>
  <si>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</si>
  <si>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</si>
  <si>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</si>
  <si>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</si>
  <si>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</si>
  <si>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</si>
  <si>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</si>
  <si>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</si>
  <si>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</si>
  <si>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</si>
  <si>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</si>
  <si>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</si>
  <si>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</si>
  <si>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</si>
  <si>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</si>
  <si>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</si>
  <si>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</si>
  <si>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</si>
  <si>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</si>
  <si>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</si>
  <si>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</si>
  <si>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</si>
  <si>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</si>
  <si>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</si>
  <si>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</si>
  <si>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</si>
  <si>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</si>
  <si>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</si>
  <si>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</si>
  <si>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</si>
  <si>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</si>
  <si>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</si>
  <si>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</si>
  <si>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</si>
  <si>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</si>
  <si>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</si>
  <si>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</si>
  <si>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</si>
  <si>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</si>
  <si>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</si>
  <si>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</si>
  <si>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</si>
  <si>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</si>
  <si>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</si>
  <si>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</si>
  <si>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</si>
  <si>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</si>
  <si>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</si>
  <si>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</si>
  <si>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</si>
  <si>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</si>
  <si>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</si>
  <si>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</si>
  <si>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</si>
  <si>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</si>
  <si>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</si>
  <si>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</si>
  <si>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</si>
  <si>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</si>
  <si>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</si>
  <si>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</si>
  <si>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</si>
  <si>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</si>
  <si>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</si>
  <si>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</si>
  <si>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</si>
  <si>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</si>
  <si>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</si>
  <si>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</si>
  <si>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</si>
  <si>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</si>
  <si>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</si>
  <si>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</si>
  <si>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</si>
  <si>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</si>
  <si>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</si>
  <si>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</si>
  <si>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</si>
  <si>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</si>
  <si>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</si>
  <si>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</si>
  <si>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</si>
  <si>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</si>
  <si>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</si>
  <si>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</si>
  <si>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</si>
  <si>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</si>
  <si>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</si>
  <si>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</si>
  <si>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</si>
  <si>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</si>
  <si>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</si>
  <si>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</si>
  <si>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</si>
  <si>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</si>
  <si>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</si>
  <si>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</si>
  <si>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</si>
  <si>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</si>
  <si>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</si>
  <si>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</si>
  <si>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</si>
  <si>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</si>
  <si>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</si>
  <si>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</si>
  <si>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</si>
  <si>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</si>
  <si>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</si>
  <si>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</si>
  <si>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</si>
  <si>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</si>
  <si>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</si>
  <si>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</si>
  <si>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</si>
  <si>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</si>
  <si>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</si>
  <si>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</si>
  <si>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</si>
  <si>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</si>
  <si>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</si>
  <si>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</si>
  <si>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</si>
  <si>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</si>
  <si>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</si>
  <si>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</si>
  <si>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</si>
  <si>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</si>
  <si>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</si>
  <si>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</si>
  <si>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</si>
  <si>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</si>
  <si>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</si>
  <si>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</si>
  <si>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</si>
  <si>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</si>
  <si>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</si>
  <si>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</si>
  <si>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</si>
  <si>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</si>
  <si>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</si>
  <si>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</si>
  <si>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</si>
  <si>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</si>
  <si>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</si>
  <si>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</si>
  <si>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</si>
  <si>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</si>
  <si>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</si>
  <si>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</si>
  <si>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</si>
  <si>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</si>
  <si>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</si>
  <si>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</si>
  <si>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</si>
  <si>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</si>
  <si>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</si>
  <si>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</si>
  <si>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</si>
  <si>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</si>
  <si>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</si>
  <si>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</si>
  <si>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</si>
  <si>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</si>
  <si>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</si>
  <si>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</si>
  <si>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</si>
  <si>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</si>
  <si>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</si>
  <si>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</si>
  <si>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</si>
  <si>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</si>
  <si>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</si>
  <si>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</si>
  <si>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</si>
  <si>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</si>
  <si>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</si>
  <si>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</si>
  <si>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</si>
  <si>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</si>
  <si>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</si>
  <si>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</si>
  <si>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</si>
  <si>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</si>
  <si>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</si>
  <si>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</si>
  <si>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</si>
  <si>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</si>
  <si>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</si>
  <si>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</si>
  <si>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</si>
  <si>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</si>
  <si>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</si>
  <si>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</si>
  <si>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</si>
  <si>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</si>
  <si>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</si>
  <si>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</si>
  <si>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</si>
  <si>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</si>
  <si>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</si>
  <si>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</si>
  <si>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</si>
  <si>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</si>
  <si>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</si>
  <si>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</si>
  <si>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</si>
  <si>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</si>
  <si>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</si>
  <si>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</si>
  <si>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</si>
  <si>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</si>
  <si>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</si>
  <si>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</si>
  <si>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</si>
  <si>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</si>
  <si>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</si>
  <si>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</si>
  <si>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</si>
  <si>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</si>
  <si>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</si>
  <si>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</si>
  <si>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</si>
  <si>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</si>
  <si>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</si>
  <si>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</si>
  <si>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</si>
  <si>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</si>
  <si>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</si>
  <si>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</si>
  <si>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</si>
  <si>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</si>
  <si>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</si>
  <si>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</si>
  <si>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</si>
  <si>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</si>
  <si>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</si>
  <si>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</si>
  <si>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</si>
  <si>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</si>
  <si>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</si>
  <si>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</si>
  <si>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</si>
  <si>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</si>
  <si>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</si>
  <si>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</si>
  <si>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</si>
  <si>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</si>
  <si>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</si>
  <si>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</si>
  <si>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</si>
  <si>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</si>
  <si>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</si>
  <si>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</si>
  <si>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</si>
  <si>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</si>
  <si>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</si>
  <si>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</si>
  <si>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</si>
  <si>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</si>
  <si>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</si>
  <si>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</si>
  <si>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</si>
  <si>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</si>
  <si>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</si>
  <si>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</si>
  <si>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</si>
  <si>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</si>
  <si>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</si>
  <si>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</si>
  <si>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</si>
  <si>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</si>
  <si>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</si>
  <si>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</si>
  <si>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</si>
  <si>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</si>
  <si>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</si>
  <si>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</si>
  <si>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</si>
  <si>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</si>
  <si>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</si>
  <si>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</si>
  <si>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</si>
  <si>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</si>
  <si>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</si>
  <si>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</si>
  <si>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</si>
  <si>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</si>
  <si>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</si>
  <si>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</si>
  <si>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</si>
  <si>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</si>
  <si>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</si>
  <si>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</si>
  <si>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</si>
  <si>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</si>
  <si>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</si>
  <si>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</si>
  <si>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</si>
  <si>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</si>
  <si>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</si>
  <si>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</si>
  <si>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</si>
  <si>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</si>
  <si>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</si>
  <si>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</si>
  <si>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</si>
  <si>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</si>
  <si>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</si>
  <si>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</si>
  <si>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</si>
  <si>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</si>
  <si>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</si>
  <si>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</si>
  <si>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</si>
  <si>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</si>
  <si>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</si>
  <si>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</si>
  <si>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</si>
  <si>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</si>
  <si>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</si>
  <si>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</si>
  <si>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</si>
  <si>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</si>
  <si>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</si>
  <si>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</si>
  <si>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</si>
  <si>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</si>
  <si>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</si>
  <si>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</si>
  <si>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</si>
  <si>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</si>
  <si>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</si>
  <si>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</si>
  <si>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</si>
  <si>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</si>
  <si>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</si>
  <si>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</si>
  <si>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</si>
  <si>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</si>
  <si>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</si>
  <si>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</si>
  <si>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</si>
  <si>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</si>
  <si>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</si>
  <si>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</si>
  <si>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</si>
  <si>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</si>
  <si>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</si>
  <si>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</si>
  <si>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</si>
  <si>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</si>
  <si>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</si>
  <si>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</si>
  <si>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</si>
  <si>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</si>
  <si>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</si>
  <si>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</si>
  <si>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</si>
  <si>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</si>
  <si>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</si>
  <si>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</si>
  <si>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</si>
  <si>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</si>
  <si>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</si>
  <si>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</si>
  <si>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</si>
  <si>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</si>
  <si>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</si>
  <si>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</si>
  <si>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</si>
  <si>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</si>
  <si>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</si>
  <si>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</si>
  <si>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</si>
  <si>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</si>
  <si>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</si>
  <si>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</si>
  <si>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</si>
  <si>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</si>
  <si>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</si>
  <si>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</si>
  <si>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</si>
  <si>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</si>
  <si>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</si>
  <si>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</si>
  <si>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</si>
  <si>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</si>
  <si>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</si>
  <si>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</si>
  <si>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</si>
  <si>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</si>
  <si>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</si>
  <si>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</si>
  <si>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</si>
  <si>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</si>
  <si>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</si>
  <si>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</si>
  <si>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</si>
  <si>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</si>
  <si>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</si>
  <si>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</si>
  <si>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</si>
  <si>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</si>
  <si>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</si>
  <si>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</si>
  <si>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</si>
  <si>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</si>
  <si>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</si>
  <si>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</si>
  <si>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</si>
  <si>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</si>
  <si>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</si>
  <si>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</si>
  <si>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</si>
  <si>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</si>
  <si>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</si>
  <si>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</si>
  <si>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</si>
  <si>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</si>
  <si>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</si>
  <si>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</si>
  <si>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</si>
  <si>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</si>
  <si>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</si>
  <si>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</si>
  <si>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</si>
  <si>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</si>
  <si>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</si>
  <si>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</si>
  <si>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</si>
  <si>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</si>
  <si>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</si>
  <si>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</si>
  <si>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</si>
  <si>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</si>
  <si>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</si>
  <si>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</si>
  <si>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</si>
  <si>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</si>
  <si>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</si>
  <si>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</si>
  <si>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</si>
  <si>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</si>
  <si>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</si>
  <si>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</si>
  <si>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</si>
  <si>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</si>
  <si>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</si>
  <si>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</si>
  <si>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</si>
  <si>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</si>
  <si>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</si>
  <si>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</si>
  <si>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</si>
  <si>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</si>
  <si>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</si>
  <si>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</si>
  <si>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</si>
  <si>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</si>
  <si>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</si>
  <si>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</si>
  <si>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</si>
  <si>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</si>
  <si>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</si>
  <si>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</si>
  <si>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</si>
  <si>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</si>
  <si>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</si>
  <si>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</si>
  <si>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</si>
  <si>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</si>
  <si>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</si>
  <si>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</si>
  <si>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</si>
  <si>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</si>
  <si>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</si>
  <si>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</si>
  <si>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</si>
  <si>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</si>
  <si>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</si>
  <si>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</si>
  <si>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</si>
  <si>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</si>
  <si>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</si>
  <si>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</si>
  <si>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</si>
  <si>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</si>
  <si>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</si>
  <si>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</si>
  <si>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</si>
  <si>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</si>
  <si>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</si>
  <si>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</si>
  <si>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</si>
  <si>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</si>
  <si>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</si>
  <si>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</si>
  <si>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</si>
  <si>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</si>
  <si>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</si>
  <si>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</si>
  <si>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</si>
  <si>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</si>
  <si>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</si>
  <si>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</si>
  <si>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</si>
  <si>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</si>
  <si>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</si>
  <si>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</si>
  <si>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</si>
  <si>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</si>
  <si>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</si>
  <si>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</si>
  <si>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</si>
  <si>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</si>
  <si>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</si>
  <si>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</si>
  <si>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</si>
  <si>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</si>
  <si>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</si>
  <si>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</si>
  <si>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</si>
  <si>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</si>
  <si>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</si>
  <si>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</si>
  <si>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</si>
  <si>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</si>
  <si>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</si>
  <si>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</si>
  <si>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</si>
  <si>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</si>
  <si>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</si>
  <si>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</si>
  <si>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</si>
  <si>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</si>
  <si>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</si>
  <si>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</si>
  <si>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</si>
  <si>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</si>
  <si>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</si>
  <si>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</si>
  <si>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</si>
  <si>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</si>
  <si>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</si>
  <si>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</si>
  <si>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</si>
  <si>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</si>
  <si>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</si>
  <si>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</si>
  <si>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</si>
  <si>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</si>
  <si>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</si>
  <si>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</si>
  <si>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</si>
  <si>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</si>
  <si>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</si>
  <si>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</si>
  <si>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</si>
  <si>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</si>
  <si>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</si>
  <si>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</si>
  <si>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</si>
  <si>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</si>
  <si>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</si>
  <si>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</si>
  <si>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</si>
  <si>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</si>
  <si>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</si>
  <si>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</si>
  <si>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</si>
  <si>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</si>
  <si>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</si>
  <si>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</si>
  <si>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</si>
  <si>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</si>
  <si>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</si>
  <si>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</si>
  <si>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</si>
  <si>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</si>
  <si>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</si>
  <si>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</si>
  <si>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</si>
  <si>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</si>
  <si>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</si>
  <si>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</si>
  <si>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</si>
  <si>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</si>
  <si>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</si>
  <si>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</si>
  <si>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</si>
  <si>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</si>
  <si>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</si>
  <si>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</si>
  <si>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</si>
  <si>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</si>
  <si>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</si>
  <si>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</si>
  <si>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</si>
  <si>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</si>
  <si>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</si>
  <si>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</si>
  <si>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</si>
  <si>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</si>
  <si>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</si>
  <si>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</si>
  <si>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</si>
  <si>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</si>
  <si>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</si>
  <si>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</si>
  <si>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</si>
  <si>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</si>
  <si>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</si>
  <si>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</si>
  <si>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</si>
  <si>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</si>
  <si>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</si>
  <si>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</si>
  <si>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</si>
  <si>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</si>
  <si>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</si>
  <si>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</si>
  <si>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</si>
  <si>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</si>
  <si>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</si>
  <si>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</si>
  <si>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</si>
  <si>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</si>
  <si>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</si>
  <si>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</si>
  <si>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</si>
  <si>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</si>
  <si>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</si>
  <si>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</si>
  <si>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</si>
  <si>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</si>
  <si>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</si>
  <si>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</si>
  <si>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</si>
  <si>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</si>
  <si>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</si>
  <si>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</si>
  <si>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</si>
  <si>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</si>
  <si>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</si>
  <si>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</si>
  <si>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</si>
  <si>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</si>
  <si>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</si>
  <si>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</si>
  <si>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</si>
  <si>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</si>
  <si>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</si>
  <si>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</si>
  <si>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</si>
  <si>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</si>
  <si>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</si>
  <si>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</si>
  <si>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</si>
  <si>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</si>
  <si>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</si>
  <si>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</si>
  <si>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</si>
  <si>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</si>
  <si>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</si>
  <si>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</si>
  <si>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</si>
  <si>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</si>
  <si>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</si>
  <si>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</si>
  <si>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</si>
  <si>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</si>
  <si>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</si>
  <si>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</si>
  <si>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</si>
  <si>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</si>
  <si>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</si>
  <si>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</si>
  <si>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</si>
  <si>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</si>
  <si>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</si>
  <si>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</si>
  <si>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</si>
  <si>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</si>
  <si>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</si>
  <si>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</si>
  <si>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</si>
  <si>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</si>
  <si>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</si>
  <si>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</si>
  <si>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</si>
  <si>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</si>
  <si>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</si>
  <si>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</si>
  <si>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</si>
  <si>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</si>
  <si>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</si>
  <si>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</si>
  <si>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</si>
  <si>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</si>
  <si>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</si>
  <si>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</si>
  <si>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</si>
  <si>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</si>
  <si>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</si>
  <si>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</si>
  <si>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</si>
  <si>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</si>
  <si>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</si>
  <si>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</si>
  <si>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</si>
  <si>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</si>
  <si>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</si>
  <si>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</si>
  <si>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</si>
  <si>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</si>
  <si>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</si>
  <si>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</si>
  <si>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</si>
  <si>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</si>
  <si>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</si>
  <si>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</si>
  <si>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</si>
  <si>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</si>
  <si>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</si>
  <si>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</si>
  <si>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</si>
  <si>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</si>
  <si>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</si>
  <si>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</si>
  <si>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</si>
  <si>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</si>
  <si>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</si>
  <si>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</si>
  <si>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</si>
  <si>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</si>
  <si>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</si>
  <si>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</si>
  <si>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</si>
  <si>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</si>
  <si>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</si>
  <si>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</si>
  <si>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</si>
  <si>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</si>
  <si>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</si>
  <si>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</si>
  <si>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</si>
  <si>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</si>
  <si>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</si>
  <si>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</si>
  <si>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</si>
  <si>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</si>
  <si>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</si>
  <si>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</si>
  <si>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</si>
  <si>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</si>
  <si>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</si>
  <si>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</si>
  <si>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</si>
  <si>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</si>
  <si>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</si>
  <si>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</si>
  <si>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</si>
  <si>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</si>
  <si>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</si>
  <si>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</si>
  <si>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</si>
  <si>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</si>
  <si>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</si>
  <si>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</si>
  <si>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</si>
  <si>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</si>
  <si>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</si>
  <si>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</si>
  <si>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</si>
  <si>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</si>
  <si>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</si>
  <si>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</si>
  <si>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</si>
  <si>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</si>
  <si>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</si>
  <si>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</si>
  <si>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</si>
  <si>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</si>
  <si>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</si>
  <si>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</si>
  <si>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</si>
  <si>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</si>
  <si>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</si>
  <si>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</si>
  <si>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</si>
  <si>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</si>
  <si>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</si>
  <si>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</si>
  <si>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</si>
  <si>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</si>
  <si>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</si>
  <si>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</si>
  <si>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</si>
  <si>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</si>
  <si>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</si>
  <si>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</si>
  <si>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</si>
  <si>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</si>
  <si>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</si>
  <si>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</si>
  <si>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</si>
  <si>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</si>
  <si>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</si>
  <si>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</si>
  <si>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</si>
  <si>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</si>
  <si>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</si>
  <si>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</si>
  <si>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</si>
  <si>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</si>
  <si>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</si>
  <si>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</si>
  <si>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</si>
  <si>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</si>
  <si>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</si>
  <si>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</si>
  <si>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</si>
  <si>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</si>
  <si>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</si>
  <si>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</si>
  <si>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</si>
  <si>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</si>
  <si>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</si>
  <si>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</si>
  <si>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</si>
  <si>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</si>
  <si>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</si>
  <si>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</si>
  <si>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</si>
  <si>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</si>
  <si>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</si>
  <si>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</si>
  <si>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</si>
  <si>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</si>
  <si>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</si>
  <si>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</si>
  <si>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</si>
  <si>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</si>
  <si>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</si>
  <si>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</si>
  <si>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</si>
  <si>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</si>
  <si>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</si>
  <si>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</si>
  <si>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</si>
  <si>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</si>
  <si>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</si>
  <si>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</si>
  <si>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</si>
  <si>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</si>
  <si>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</si>
  <si>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</si>
  <si>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</si>
  <si>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</si>
  <si>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</si>
  <si>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</si>
  <si>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</si>
  <si>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</si>
  <si>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</si>
  <si>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</si>
  <si>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</si>
  <si>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</si>
  <si>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</si>
  <si>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</si>
  <si>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</si>
  <si>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</si>
  <si>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</si>
  <si>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</si>
  <si>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</si>
  <si>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</si>
  <si>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</si>
  <si>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</si>
  <si>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</si>
  <si>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</si>
  <si>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</si>
  <si>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</si>
  <si>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</si>
  <si>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</si>
  <si>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</si>
  <si>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</si>
  <si>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</si>
  <si>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</si>
  <si>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</si>
  <si>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</si>
  <si>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</si>
  <si>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</si>
  <si>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</si>
  <si>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</si>
  <si>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</si>
  <si>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</si>
  <si>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</si>
  <si>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</si>
  <si>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</si>
  <si>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</si>
  <si>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</si>
  <si>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</si>
  <si>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</si>
  <si>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</si>
  <si>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</si>
  <si>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</si>
  <si>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</si>
  <si>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</si>
  <si>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</si>
  <si>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</si>
  <si>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</si>
  <si>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</si>
  <si>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</si>
  <si>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</si>
  <si>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</si>
  <si>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</si>
  <si>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</si>
  <si>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</si>
  <si>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</si>
  <si>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</si>
  <si>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</si>
  <si>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</si>
  <si>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</si>
  <si>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</si>
  <si>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</si>
  <si>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</si>
  <si>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</si>
  <si>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</si>
  <si>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</si>
  <si>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</si>
  <si>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</si>
  <si>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</si>
  <si>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</si>
  <si>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</si>
  <si>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</si>
  <si>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</si>
  <si>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</si>
  <si>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</si>
  <si>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</si>
  <si>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</si>
  <si>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</si>
  <si>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</si>
  <si>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</si>
  <si>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</si>
  <si>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</si>
  <si>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</si>
  <si>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JOYCE LAMBERT</t>
  </si>
  <si>
    <t xml:space="preserve">LAMPY</t>
  </si>
  <si>
    <t xml:space="preserve">LAMPY A ALZONNE</t>
  </si>
  <si>
    <t xml:space="preserve">06177959</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</si>
  <si>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</si>
  <si>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</si>
  <si>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</si>
  <si>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</si>
  <si>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</si>
  <si>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</si>
  <si>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</si>
  <si>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</si>
  <si>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 lent</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</si>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</sst>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42915</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10.2</v>
      </c>
      <c r="N5" s="324"/>
      <c r="O5" s="325" t="s">
        <v>830</v>
      </c>
      <c r="P5" s="326" t="n">
        <v>9</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100</v>
      </c>
      <c r="C7" s="342"/>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9.75</v>
      </c>
      <c r="P8" s="356" t="n">
        <f aca="false">IF(ISERROR(AVERAGE(K23:K82)),"  ",AVERAGE(K23:K82))</f>
        <v>1.25</v>
      </c>
      <c r="Q8" s="357"/>
      <c r="R8" s="281"/>
      <c r="S8" s="281"/>
      <c r="T8" s="281"/>
      <c r="U8" s="281"/>
      <c r="V8" s="281"/>
      <c r="W8" s="295"/>
      <c r="X8" s="0"/>
      <c r="Y8" s="0"/>
      <c r="Z8" s="0"/>
    </row>
    <row r="9" customFormat="false" ht="12.75" hidden="false" customHeight="false" outlineLevel="0" collapsed="false">
      <c r="A9" s="314" t="s">
        <v>3399</v>
      </c>
      <c r="B9" s="358" t="n">
        <v>0.01</v>
      </c>
      <c r="C9" s="359"/>
      <c r="D9" s="360"/>
      <c r="E9" s="360"/>
      <c r="F9" s="361" t="n">
        <f aca="false">($B9*$B$7+$C9*$C$7)/100</f>
        <v>0.01</v>
      </c>
      <c r="G9" s="362"/>
      <c r="H9" s="317"/>
      <c r="I9" s="281"/>
      <c r="J9" s="363"/>
      <c r="K9" s="364"/>
      <c r="L9" s="347"/>
      <c r="M9" s="365"/>
      <c r="N9" s="355" t="s">
        <v>3400</v>
      </c>
      <c r="O9" s="356" t="n">
        <f aca="false">IF(ISERROR(STDEVP(J23:J82))," ",STDEVP(J23:J82))</f>
        <v>2.27760839478608</v>
      </c>
      <c r="P9" s="356" t="n">
        <f aca="false">IF(ISERROR(STDEVP(K23:K82)),"  ",STDEVP(K23:K82))</f>
        <v>0.433012701892219</v>
      </c>
      <c r="Q9" s="357"/>
      <c r="R9" s="281"/>
      <c r="S9" s="281"/>
      <c r="T9" s="281"/>
      <c r="U9" s="281"/>
      <c r="V9" s="281"/>
      <c r="W9" s="295"/>
      <c r="X9" s="0"/>
      <c r="Y9" s="0"/>
      <c r="Z9" s="0"/>
    </row>
    <row r="10" customFormat="false" ht="12.75" hidden="false" customHeight="false" outlineLevel="0" collapsed="false">
      <c r="A10" s="314" t="s">
        <v>3401</v>
      </c>
      <c r="B10" s="366" t="s">
        <v>3402</v>
      </c>
      <c r="C10" s="367"/>
      <c r="D10" s="360"/>
      <c r="E10" s="360"/>
      <c r="F10" s="361"/>
      <c r="G10" s="362"/>
      <c r="H10" s="330"/>
      <c r="I10" s="281"/>
      <c r="J10" s="368"/>
      <c r="K10" s="369" t="s">
        <v>3403</v>
      </c>
      <c r="L10" s="370"/>
      <c r="M10" s="371"/>
      <c r="N10" s="355" t="s">
        <v>3404</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12</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2</v>
      </c>
      <c r="M13" s="381"/>
      <c r="N13" s="389" t="s">
        <v>3412</v>
      </c>
      <c r="O13" s="390" t="n">
        <f aca="false">COUNTIF(F23:F82,"&gt;0")</f>
        <v>6</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4</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3</v>
      </c>
      <c r="M15" s="381"/>
      <c r="N15" s="389" t="s">
        <v>3418</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0.666666666666667</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0.06</v>
      </c>
      <c r="C20" s="433" t="n">
        <f aca="false">SUM(C23:C82)</f>
        <v>0</v>
      </c>
      <c r="D20" s="434"/>
      <c r="E20" s="435" t="s">
        <v>3425</v>
      </c>
      <c r="F20" s="436" t="n">
        <f aca="false">($B20*$B$7+$C20*$C$7)/100</f>
        <v>0.06</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0.06</v>
      </c>
      <c r="C21" s="444" t="n">
        <f aca="false">C20*C7/100</f>
        <v>0</v>
      </c>
      <c r="D21" s="445" t="s">
        <v>3428</v>
      </c>
      <c r="E21" s="446"/>
      <c r="F21" s="447" t="n">
        <f aca="false">B21+C21</f>
        <v>0.06</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0.01</v>
      </c>
      <c r="C23" s="473"/>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0.01</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830</v>
      </c>
      <c r="B24" s="490" t="n">
        <v>0.01</v>
      </c>
      <c r="C24" s="491"/>
      <c r="D24" s="492" t="str">
        <f aca="false">IF(ISERROR(VLOOKUP($A24,'liste reference'!$A$6:$B$1174,2,0)),IF(ISERROR(VLOOKUP($A24,'liste reference'!$B$6:$B$1174,1,0)),"",VLOOKUP($A24,'liste reference'!$B$6:$B$1174,1,0)),VLOOKUP($A24,'liste reference'!$A$6:$B$1174,2,0))</f>
        <v>Fissidens crassipes</v>
      </c>
      <c r="E24" s="493" t="e">
        <f aca="false">IF(D24="",0,VLOOKUP(D24,D$22:D23,1,0))</f>
        <v>#N/A</v>
      </c>
      <c r="F24" s="494" t="n">
        <f aca="false">IF(AND(OR(A24="",A24="!!!!!!"),B24="",C24=""),"",IF(OR(AND(B24="",C24=""),ISERROR(C24+B24)),"!!!",($B24*$B$7+$C24*$C$7)/100))</f>
        <v>0.01</v>
      </c>
      <c r="G24" s="495" t="str">
        <f aca="false">IF(A24="","",IF(ISERROR(VLOOKUP($A24,'liste reference'!$A$6:$Q$1174,9,0)),IF(ISERROR(VLOOKUP($A24,'liste reference'!$B$6:$Q$1174,8,0)),"    -",VLOOKUP($A24,'liste reference'!$B$6:$Q$1174,8,0)),VLOOKUP($A24,'liste reference'!$A$6:$Q$1174,9,0)))</f>
        <v>BRm</v>
      </c>
      <c r="H24" s="496" t="n">
        <f aca="false">IF(A24="","x",IF(ISERROR(VLOOKUP($A24,'liste reference'!$A$6:$Q$1174,10,0)),IF(ISERROR(VLOOKUP($A24,'liste reference'!$B$6:$Q$1174,9,0)),"x",VLOOKUP($A24,'liste reference'!$B$6:$Q$1174,9,0)),VLOOKUP($A24,'liste reference'!$A$6:$Q$1174,10,0)))</f>
        <v>5</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Fissidens crassipes</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1294</v>
      </c>
      <c r="R24" s="484" t="n">
        <f aca="false">IF(ISTEXT(H24),"",(B24*$B$7/100)+(C24*$C$7/100))</f>
        <v>0.01</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FISCRA</v>
      </c>
      <c r="Z24" s="470" t="n">
        <f aca="false">IF(ISERROR(MATCH(A24,'liste reference'!$A$6:$A$1174,0)),IF(ISERROR(MATCH(A24,'liste reference'!$B$6:$B$1174,0)),"",(MATCH(A24,'liste reference'!$B$6:$B$1174,0))),(MATCH(A24,'liste reference'!$A$6:$A$1174,0)))</f>
        <v>255</v>
      </c>
    </row>
    <row r="25" customFormat="false" ht="12.75" hidden="false" customHeight="false" outlineLevel="0" collapsed="false">
      <c r="A25" s="489" t="s">
        <v>1004</v>
      </c>
      <c r="B25" s="490" t="n">
        <v>0.01</v>
      </c>
      <c r="C25" s="491"/>
      <c r="D25" s="492" t="str">
        <f aca="false">IF(ISERROR(VLOOKUP($A25,'liste reference'!$A$6:$B$1174,2,0)),IF(ISERROR(VLOOKUP($A25,'liste reference'!$B$6:$B$1174,1,0)),"",VLOOKUP($A25,'liste reference'!$B$6:$B$1174,1,0)),VLOOKUP($A25,'liste reference'!$A$6:$B$1174,2,0))</f>
        <v>Oxyrrhynchium speciosum </v>
      </c>
      <c r="E25" s="493" t="e">
        <f aca="false">IF(D25="",0,VLOOKUP(D25,D$22:D24,1,0))</f>
        <v>#N/A</v>
      </c>
      <c r="F25" s="494" t="n">
        <f aca="false">IF(AND(OR(A25="",A25="!!!!!!"),B25="",C25=""),"",IF(OR(AND(B25="",C25=""),ISERROR(C25+B25)),"!!!",($B25*$B$7+$C25*$C$7)/100))</f>
        <v>0.01</v>
      </c>
      <c r="G25" s="495" t="str">
        <f aca="false">IF(A25="","",IF(ISERROR(VLOOKUP($A25,'liste reference'!$A$6:$Q$1174,9,0)),IF(ISERROR(VLOOKUP($A25,'liste reference'!$B$6:$Q$1174,8,0)),"    -",VLOOKUP($A25,'liste reference'!$B$6:$Q$1174,8,0)),VLOOKUP($A25,'liste reference'!$A$6:$Q$1174,9,0)))</f>
        <v>BRm</v>
      </c>
      <c r="H25" s="496" t="n">
        <f aca="false">IF(A25="","x",IF(ISERROR(VLOOKUP($A25,'liste reference'!$A$6:$Q$1174,10,0)),IF(ISERROR(VLOOKUP($A25,'liste reference'!$B$6:$Q$1174,9,0)),"x",VLOOKUP($A25,'liste reference'!$B$6:$Q$1174,9,0)),VLOOKUP($A25,'liste reference'!$A$6:$Q$1174,10,0)))</f>
        <v>5</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Oxyrrhynchium speciosum </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30099</v>
      </c>
      <c r="R25" s="484" t="n">
        <f aca="false">IF(ISTEXT(H25),"",(B25*$B$7/100)+(C25*$C$7/100))</f>
        <v>0.01</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OXYSPE</v>
      </c>
      <c r="Z25" s="470" t="n">
        <f aca="false">IF(ISERROR(MATCH(A25,'liste reference'!$A$6:$A$1174,0)),IF(ISERROR(MATCH(A25,'liste reference'!$B$6:$B$1174,0)),"",(MATCH(A25,'liste reference'!$B$6:$B$1174,0))),(MATCH(A25,'liste reference'!$A$6:$A$1174,0)))</f>
        <v>308</v>
      </c>
    </row>
    <row r="26" customFormat="false" ht="12.75" hidden="false" customHeight="false" outlineLevel="0" collapsed="false">
      <c r="A26" s="489" t="s">
        <v>1483</v>
      </c>
      <c r="B26" s="490" t="n">
        <v>0.01</v>
      </c>
      <c r="C26" s="491"/>
      <c r="D26" s="492" t="str">
        <f aca="false">IF(ISERROR(VLOOKUP($A26,'liste reference'!$A$6:$B$1174,2,0)),IF(ISERROR(VLOOKUP($A26,'liste reference'!$B$6:$B$1174,1,0)),"",VLOOKUP($A26,'liste reference'!$B$6:$B$1174,1,0)),VLOOKUP($A26,'liste reference'!$A$6:$B$1174,2,0))</f>
        <v>Helosciadium nodiflorum </v>
      </c>
      <c r="E26" s="493" t="e">
        <f aca="false">IF(D26="",0,VLOOKUP(D26,D$22:D25,1,0))</f>
        <v>#N/A</v>
      </c>
      <c r="F26" s="494" t="n">
        <f aca="false">IF(AND(OR(A26="",A26="!!!!!!"),B26="",C26=""),"",IF(OR(AND(B26="",C26=""),ISERROR(C26+B26)),"!!!",($B26*$B$7+$C26*$C$7)/100))</f>
        <v>0.01</v>
      </c>
      <c r="G26" s="495" t="str">
        <f aca="false">IF(A26="","",IF(ISERROR(VLOOKUP($A26,'liste reference'!$A$6:$Q$1174,9,0)),IF(ISERROR(VLOOKUP($A26,'liste reference'!$B$6:$Q$1174,8,0)),"    -",VLOOKUP($A26,'liste reference'!$B$6:$Q$1174,8,0)),VLOOKUP($A26,'liste reference'!$A$6:$Q$1174,9,0)))</f>
        <v>PHy</v>
      </c>
      <c r="H26" s="496" t="n">
        <f aca="false">IF(A26="","x",IF(ISERROR(VLOOKUP($A26,'liste reference'!$A$6:$Q$1174,10,0)),IF(ISERROR(VLOOKUP($A26,'liste reference'!$B$6:$Q$1174,9,0)),"x",VLOOKUP($A26,'liste reference'!$B$6:$Q$1174,9,0)),VLOOKUP($A26,'liste reference'!$A$6:$Q$1174,10,0)))</f>
        <v>7</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Helosciadium nodiflorum </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30053</v>
      </c>
      <c r="R26" s="484" t="n">
        <f aca="false">IF(ISTEXT(H26),"",(B26*$B$7/100)+(C26*$C$7/100))</f>
        <v>0.01</v>
      </c>
      <c r="S26" s="485" t="n">
        <f aca="false">IF(OR(ISTEXT(H26),R26=0),"",IF(R26&lt;0.1,1,IF(R26&lt;1,2,IF(R26&lt;10,3,IF(R26&lt;50,4,IF(R26&gt;=50,5,""))))))</f>
        <v>1</v>
      </c>
      <c r="T26" s="485" t="n">
        <f aca="false">IF(ISERROR(S26*J26),0,S26*J26)</f>
        <v>10</v>
      </c>
      <c r="U26" s="485" t="n">
        <f aca="false">IF(ISERROR(S26*J26*K26),0,S26*J26*K26)</f>
        <v>10</v>
      </c>
      <c r="V26" s="501" t="n">
        <f aca="false">IF(ISERROR(S26*K26),0,S26*K26)</f>
        <v>1</v>
      </c>
      <c r="W26" s="502"/>
      <c r="X26" s="503"/>
      <c r="Y26" s="488" t="str">
        <f aca="false">IF(AND(ISNUMBER(F26),OR(A26="",A26="!!!!!!")),"!!!!!!",IF(A26="new.cod","NEWCOD",IF(AND((Z26=""),ISTEXT(A26),A26&lt;&gt;"!!!!!!"),A26,IF(Z26="","",INDEX('liste reference'!$A$6:$A$1174,Z26)))))</f>
        <v>HELNOD</v>
      </c>
      <c r="Z26" s="470" t="n">
        <f aca="false">IF(ISERROR(MATCH(A26,'liste reference'!$A$6:$A$1174,0)),IF(ISERROR(MATCH(A26,'liste reference'!$B$6:$B$1174,0)),"",(MATCH(A26,'liste reference'!$B$6:$B$1174,0))),(MATCH(A26,'liste reference'!$A$6:$A$1174,0)))</f>
        <v>460</v>
      </c>
    </row>
    <row r="27" customFormat="false" ht="12.75" hidden="false" customHeight="false" outlineLevel="0" collapsed="false">
      <c r="A27" s="489" t="s">
        <v>2164</v>
      </c>
      <c r="B27" s="490" t="n">
        <v>0.01</v>
      </c>
      <c r="C27" s="491"/>
      <c r="D27" s="492" t="str">
        <f aca="false">IF(ISERROR(VLOOKUP($A27,'liste reference'!$A$6:$B$1174,2,0)),IF(ISERROR(VLOOKUP($A27,'liste reference'!$B$6:$B$1174,1,0)),"",VLOOKUP($A27,'liste reference'!$B$6:$B$1174,1,0)),VLOOKUP($A27,'liste reference'!$A$6:$B$1174,2,0))</f>
        <v>Nasturtium officinale</v>
      </c>
      <c r="E27" s="493" t="e">
        <f aca="false">IF(D27="",0,VLOOKUP(D27,D$22:D26,1,0))</f>
        <v>#N/A</v>
      </c>
      <c r="F27" s="494" t="n">
        <f aca="false">IF(AND(OR(A27="",A27="!!!!!!"),B27="",C27=""),"",IF(OR(AND(B27="",C27=""),ISERROR(C27+B27)),"!!!",($B27*$B$7+$C27*$C$7)/100))</f>
        <v>0.01</v>
      </c>
      <c r="G27" s="495" t="str">
        <f aca="false">IF(A27="","",IF(ISERROR(VLOOKUP($A27,'liste reference'!$A$6:$Q$1174,9,0)),IF(ISERROR(VLOOKUP($A27,'liste reference'!$B$6:$Q$1174,8,0)),"    -",VLOOKUP($A27,'liste reference'!$B$6:$Q$1174,8,0)),VLOOKUP($A27,'liste reference'!$A$6:$Q$1174,9,0)))</f>
        <v>PHe</v>
      </c>
      <c r="H27" s="496" t="n">
        <f aca="false">IF(A27="","x",IF(ISERROR(VLOOKUP($A27,'liste reference'!$A$6:$Q$1174,10,0)),IF(ISERROR(VLOOKUP($A27,'liste reference'!$B$6:$Q$1174,9,0)),"x",VLOOKUP($A27,'liste reference'!$B$6:$Q$1174,9,0)),VLOOKUP($A27,'liste reference'!$A$6:$Q$1174,10,0)))</f>
        <v>8</v>
      </c>
      <c r="I27" s="281" t="n">
        <f aca="false">IF(A27="","",1)</f>
        <v>1</v>
      </c>
      <c r="J27" s="497" t="n">
        <f aca="false">IF(ISNUMBER($H27),IF(ISERROR(VLOOKUP($A27,'liste reference'!$A$6:$Q$1174,6,0)),IF(ISERROR(VLOOKUP($A27,'liste reference'!$B$6:$Q$1174,5,0)),"nu",VLOOKUP($A27,'liste reference'!$B$6:$Q$1174,5,0)),VLOOKUP($A27,'liste reference'!$A$6:$Q$1174,6,0)),"nu")</f>
        <v>11</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Nasturtium officinale</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1763</v>
      </c>
      <c r="R27" s="484" t="n">
        <f aca="false">IF(ISTEXT(H27),"",(B27*$B$7/100)+(C27*$C$7/100))</f>
        <v>0.01</v>
      </c>
      <c r="S27" s="485" t="n">
        <f aca="false">IF(OR(ISTEXT(H27),R27=0),"",IF(R27&lt;0.1,1,IF(R27&lt;1,2,IF(R27&lt;10,3,IF(R27&lt;50,4,IF(R27&gt;=50,5,""))))))</f>
        <v>1</v>
      </c>
      <c r="T27" s="485" t="n">
        <f aca="false">IF(ISERROR(S27*J27),0,S27*J27)</f>
        <v>11</v>
      </c>
      <c r="U27" s="485" t="n">
        <f aca="false">IF(ISERROR(S27*J27*K27),0,S27*J27*K27)</f>
        <v>11</v>
      </c>
      <c r="V27" s="501" t="n">
        <f aca="false">IF(ISERROR(S27*K27),0,S27*K27)</f>
        <v>1</v>
      </c>
      <c r="W27" s="502"/>
      <c r="X27" s="503"/>
      <c r="Y27" s="488" t="str">
        <f aca="false">IF(AND(ISNUMBER(F27),OR(A27="",A27="!!!!!!")),"!!!!!!",IF(A27="new.cod","NEWCOD",IF(AND((Z27=""),ISTEXT(A27),A27&lt;&gt;"!!!!!!"),A27,IF(Z27="","",INDEX('liste reference'!$A$6:$A$1174,Z27)))))</f>
        <v>NASOFF</v>
      </c>
      <c r="Z27" s="470" t="n">
        <f aca="false">IF(ISERROR(MATCH(A27,'liste reference'!$A$6:$A$1174,0)),IF(ISERROR(MATCH(A27,'liste reference'!$B$6:$B$1174,0)),"",(MATCH(A27,'liste reference'!$B$6:$B$1174,0))),(MATCH(A27,'liste reference'!$A$6:$A$1174,0)))</f>
        <v>704</v>
      </c>
    </row>
    <row r="28" customFormat="false" ht="12.75" hidden="false" customHeight="false" outlineLevel="0" collapsed="false">
      <c r="A28" s="489" t="s">
        <v>2688</v>
      </c>
      <c r="B28" s="490" t="n">
        <v>0.01</v>
      </c>
      <c r="C28" s="491"/>
      <c r="D28" s="492" t="str">
        <f aca="false">IF(ISERROR(VLOOKUP($A28,'liste reference'!$A$6:$B$1174,2,0)),IF(ISERROR(VLOOKUP($A28,'liste reference'!$B$6:$B$1174,1,0)),"",VLOOKUP($A28,'liste reference'!$B$6:$B$1174,1,0)),VLOOKUP($A28,'liste reference'!$A$6:$B$1174,2,0))</f>
        <v>Lysimachia vulgaris</v>
      </c>
      <c r="E28" s="493" t="e">
        <f aca="false">IF(D28="",0,VLOOKUP(D28,D$22:D27,1,0))</f>
        <v>#N/A</v>
      </c>
      <c r="F28" s="494" t="n">
        <f aca="false">IF(AND(OR(A28="",A28="!!!!!!"),B28="",C28=""),"",IF(OR(AND(B28="",C28=""),ISERROR(C28+B28)),"!!!",($B28*$B$7+$C28*$C$7)/100))</f>
        <v>0.01</v>
      </c>
      <c r="G28" s="495" t="str">
        <f aca="false">IF(A28="","",IF(ISERROR(VLOOKUP($A28,'liste reference'!$A$6:$Q$1174,9,0)),IF(ISERROR(VLOOKUP($A28,'liste reference'!$B$6:$Q$1174,8,0)),"    -",VLOOKUP($A28,'liste reference'!$B$6:$Q$1174,8,0)),VLOOKUP($A28,'liste reference'!$A$6:$Q$1174,9,0)))</f>
        <v>PHg</v>
      </c>
      <c r="H28" s="496" t="n">
        <f aca="false">IF(A28="","x",IF(ISERROR(VLOOKUP($A28,'liste reference'!$A$6:$Q$1174,10,0)),IF(ISERROR(VLOOKUP($A28,'liste reference'!$B$6:$Q$1174,9,0)),"x",VLOOKUP($A28,'liste reference'!$B$6:$Q$1174,9,0)),VLOOKUP($A28,'liste reference'!$A$6:$Q$1174,10,0)))</f>
        <v>9</v>
      </c>
      <c r="I28" s="281" t="n">
        <f aca="false">IF(A28="","",1)</f>
        <v>1</v>
      </c>
      <c r="J28" s="497" t="str">
        <f aca="false">IF(ISNUMBER($H28),IF(ISERROR(VLOOKUP($A28,'liste reference'!$A$6:$Q$1174,6,0)),IF(ISERROR(VLOOKUP($A28,'liste reference'!$B$6:$Q$1174,5,0)),"nu",VLOOKUP($A28,'liste reference'!$B$6:$Q$1174,5,0)),VLOOKUP($A28,'liste reference'!$A$6:$Q$1174,6,0)),"nu")</f>
        <v>nc</v>
      </c>
      <c r="K28" s="497" t="str">
        <f aca="false">IF(ISNUMBER($H28),IF(ISERROR(VLOOKUP($A28,'liste reference'!$A$6:$Q$1174,7,0)),IF(ISERROR(VLOOKUP($A28,'liste reference'!$B$6:$Q$1174,6,0)),"nu",VLOOKUP($A28,'liste reference'!$B$6:$Q$1174,6,0)),VLOOKUP($A28,'liste reference'!$A$6:$Q$1174,7,0)),"nu")</f>
        <v>nc</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Lysimachia vulgaris</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1887</v>
      </c>
      <c r="R28" s="484" t="n">
        <f aca="false">IF(ISTEXT(H28),"",(B28*$B$7/100)+(C28*$C$7/100))</f>
        <v>0.01</v>
      </c>
      <c r="S28" s="485" t="n">
        <f aca="false">IF(OR(ISTEXT(H28),R28=0),"",IF(R28&lt;0.1,1,IF(R28&lt;1,2,IF(R28&lt;10,3,IF(R28&lt;50,4,IF(R28&gt;=50,5,""))))))</f>
        <v>1</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LYSVUL</v>
      </c>
      <c r="Z28" s="470" t="n">
        <f aca="false">IF(ISERROR(MATCH(A28,'liste reference'!$A$6:$A$1174,0)),IF(ISERROR(MATCH(A28,'liste reference'!$B$6:$B$1174,0)),"",(MATCH(A28,'liste reference'!$B$6:$B$1174,0))),(MATCH(A28,'liste reference'!$A$6:$A$1174,0)))</f>
        <v>899</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0.06</v>
      </c>
      <c r="G83" s="424"/>
      <c r="H83" s="424"/>
      <c r="I83" s="424"/>
      <c r="J83" s="424"/>
      <c r="K83" s="424"/>
      <c r="L83" s="424"/>
      <c r="M83" s="485"/>
      <c r="N83" s="485"/>
      <c r="O83" s="485"/>
      <c r="P83" s="485"/>
      <c r="Q83" s="485"/>
      <c r="R83" s="485"/>
      <c r="S83" s="485"/>
      <c r="T83" s="485"/>
      <c r="U83" s="485"/>
      <c r="V83" s="485" t="n">
        <f aca="false">SUM(V23:V82)</f>
        <v>5</v>
      </c>
      <c r="W83" s="485"/>
      <c r="X83" s="523"/>
      <c r="Y83" s="523"/>
      <c r="Z83" s="524"/>
    </row>
    <row r="84" customFormat="false" ht="12.75" hidden="true" customHeight="false" outlineLevel="0" collapsed="false">
      <c r="A84" s="518" t="str">
        <f aca="false">A3</f>
        <v>LAMPY</v>
      </c>
      <c r="B84" s="453" t="str">
        <f aca="false">C3</f>
        <v>LAMPY A ALZONNE</v>
      </c>
      <c r="C84" s="525" t="str">
        <f aca="false">A4</f>
        <v>(Date)</v>
      </c>
      <c r="D84" s="526" t="n">
        <f aca="false">IF(OR(ISERROR(SUM($U$23:$U$82)/SUM($V$23:$V$82)),F7&lt;&gt;100),-1,SUM($U$23:$U$82)/SUM($V$23:$V$82))</f>
        <v>10.2</v>
      </c>
      <c r="E84" s="527" t="n">
        <f aca="false">O13</f>
        <v>6</v>
      </c>
      <c r="F84" s="453" t="n">
        <f aca="false">O14</f>
        <v>4</v>
      </c>
      <c r="G84" s="453" t="n">
        <f aca="false">O15</f>
        <v>3</v>
      </c>
      <c r="H84" s="453" t="n">
        <f aca="false">O16</f>
        <v>1</v>
      </c>
      <c r="I84" s="453" t="n">
        <f aca="false">O17</f>
        <v>0</v>
      </c>
      <c r="J84" s="528" t="n">
        <f aca="false">O8</f>
        <v>9.75</v>
      </c>
      <c r="K84" s="529" t="n">
        <f aca="false">O9</f>
        <v>2.27760839478608</v>
      </c>
      <c r="L84" s="530" t="n">
        <f aca="false">O10</f>
        <v>6</v>
      </c>
      <c r="M84" s="530" t="n">
        <f aca="false">O11</f>
        <v>12</v>
      </c>
      <c r="N84" s="529" t="n">
        <f aca="false">P8</f>
        <v>1.25</v>
      </c>
      <c r="O84" s="529" t="n">
        <f aca="false">P9</f>
        <v>0.433012701892219</v>
      </c>
      <c r="P84" s="530" t="n">
        <f aca="false">P10</f>
        <v>1</v>
      </c>
      <c r="Q84" s="530" t="n">
        <f aca="false">P11</f>
        <v>2</v>
      </c>
      <c r="R84" s="530" t="n">
        <f aca="false">F21</f>
        <v>0.06</v>
      </c>
      <c r="S84" s="530" t="n">
        <f aca="false">L11</f>
        <v>0</v>
      </c>
      <c r="T84" s="530" t="n">
        <f aca="false">L12</f>
        <v>1</v>
      </c>
      <c r="U84" s="530" t="n">
        <f aca="false">L13</f>
        <v>2</v>
      </c>
      <c r="V84" s="531" t="n">
        <f aca="false">L15</f>
        <v>3</v>
      </c>
      <c r="W84" s="532" t="n">
        <f aca="false">L15</f>
        <v>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12</v>
      </c>
      <c r="U87" s="281"/>
      <c r="V87" s="281"/>
    </row>
    <row r="88" customFormat="false" ht="12.75" hidden="true" customHeight="false" outlineLevel="0" collapsed="false">
      <c r="C88" s="534"/>
      <c r="D88" s="534"/>
      <c r="E88" s="534"/>
      <c r="R88" s="281" t="s">
        <v>3452</v>
      </c>
      <c r="S88" s="281"/>
      <c r="T88" s="536" t="n">
        <f aca="false">VLOOKUP($T$91,($A$23:$U$82),21,0)</f>
        <v>24</v>
      </c>
      <c r="U88" s="281"/>
      <c r="V88" s="281" t="n">
        <f aca="false">COUNTIF(V23:V82,T89)</f>
        <v>1</v>
      </c>
    </row>
    <row r="89" customFormat="false" ht="12.75" hidden="true" customHeight="false" outlineLevel="0" collapsed="false">
      <c r="C89" s="534"/>
      <c r="D89" s="534"/>
      <c r="E89" s="534"/>
      <c r="R89" s="281" t="s">
        <v>3453</v>
      </c>
      <c r="S89" s="281"/>
      <c r="T89" s="536" t="n">
        <f aca="false">MAX($V$23:$V$82)</f>
        <v>2</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9</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FISCRA</v>
      </c>
      <c r="U91" s="281" t="n">
        <f aca="false">IF(ISERROR(MATCH($T$93,'liste reference'!$A$6:$A$1174,0)),MATCH($T$93,'liste reference'!$B$6:$B$1174,0),(MATCH($T$93,'liste reference'!$A$6:$A$1174,0)))</f>
        <v>255</v>
      </c>
      <c r="V91" s="538"/>
    </row>
    <row r="92" customFormat="false" ht="12.75" hidden="true" customHeight="false" outlineLevel="0" collapsed="false">
      <c r="C92" s="534"/>
      <c r="D92" s="534"/>
      <c r="E92" s="534"/>
      <c r="R92" s="281" t="s">
        <v>3456</v>
      </c>
      <c r="S92" s="281"/>
      <c r="T92" s="281" t="n">
        <f aca="false">MATCH(T89,$V$23:$V$82,0)</f>
        <v>2</v>
      </c>
      <c r="U92" s="281"/>
    </row>
    <row r="93" customFormat="false" ht="12.75" hidden="true" customHeight="false" outlineLevel="0" collapsed="false">
      <c r="C93" s="534"/>
      <c r="D93" s="534"/>
      <c r="E93" s="534"/>
      <c r="R93" s="485" t="s">
        <v>3457</v>
      </c>
      <c r="S93" s="281"/>
      <c r="T93" s="485" t="str">
        <f aca="false">INDEX($A$23:$A$82,$T$92)</f>
        <v>FISCRA</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3402</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2017-11-28T15:33:57Z</cp:lastPrinted>
  <dcterms:modified xsi:type="dcterms:W3CDTF">2017-11-28T16:11:27Z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