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Vidourle à Liouc" sheetId="8" state="visible" r:id="rId10"/>
    <sheet name="liste codes réf" sheetId="9" state="hidden" r:id="rId11"/>
  </sheets>
  <definedNames>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7" name="_xlnm.Print_Area" vbProcedure="false">'Vidourle à Liouc'!$A$1:$Q$82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'Vidourle à Liouc'!$A$1:$C$1415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<sst xmlns="http://schemas.openxmlformats.org/spreadsheetml/2006/main" count="9314" uniqueCount="3665">
  <si>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</si>
  <si>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</si>
  <si>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</si>
  <si>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</si>
  <si>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</si>
  <si>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</si>
  <si>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</si>
  <si>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</si>
  <si>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</si>
  <si>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</si>
  <si>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</si>
  <si>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</si>
  <si>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</si>
  <si>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</si>
  <si>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</si>
  <si>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</si>
  <si>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</si>
  <si>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</si>
  <si>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</si>
  <si>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</si>
  <si>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</si>
  <si>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</si>
  <si>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</si>
  <si>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</si>
  <si>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</si>
  <si>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</si>
  <si>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</si>
  <si>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</si>
  <si>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</si>
  <si>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</si>
  <si>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</si>
  <si>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</si>
  <si>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</si>
  <si>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</si>
  <si>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</si>
  <si>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</si>
  <si>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</si>
  <si>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</si>
  <si>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</si>
  <si>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</si>
  <si>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</si>
  <si>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</si>
  <si>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</si>
  <si>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</si>
  <si>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</si>
  <si>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</si>
  <si>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</si>
  <si>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</si>
  <si>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</si>
  <si>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</si>
  <si>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</si>
  <si>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</si>
  <si>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</si>
  <si>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</si>
  <si>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</si>
  <si>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</si>
  <si>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</si>
  <si>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</si>
  <si>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</si>
  <si>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</si>
  <si>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</si>
  <si>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</si>
  <si>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</si>
  <si>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</si>
  <si>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</si>
  <si>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</si>
  <si>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</si>
  <si>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</si>
  <si>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</si>
  <si>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</si>
  <si>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</si>
  <si>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</si>
  <si>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</si>
  <si>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</si>
  <si>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</si>
  <si>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</si>
  <si>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</si>
  <si>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</si>
  <si>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</si>
  <si>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</si>
  <si>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</si>
  <si>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</si>
  <si>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</si>
  <si>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</si>
  <si>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</si>
  <si>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</si>
  <si>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</si>
  <si>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</si>
  <si>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</si>
  <si>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</si>
  <si>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</si>
  <si>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</si>
  <si>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</si>
  <si>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</si>
  <si>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</si>
  <si>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</si>
  <si>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</si>
  <si>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</si>
  <si>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</si>
  <si>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</si>
  <si>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</si>
  <si>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</si>
  <si>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</si>
  <si>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</si>
  <si>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</si>
  <si>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</si>
  <si>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</si>
  <si>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</si>
  <si>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</si>
  <si>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</si>
  <si>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</si>
  <si>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</si>
  <si>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</si>
  <si>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</si>
  <si>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</si>
  <si>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</si>
  <si>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</si>
  <si>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</si>
  <si>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</si>
  <si>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</si>
  <si>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</si>
  <si>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</si>
  <si>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</si>
  <si>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</si>
  <si>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</si>
  <si>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</si>
  <si>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</si>
  <si>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</si>
  <si>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</si>
  <si>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</si>
  <si>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</si>
  <si>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</si>
  <si>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</si>
  <si>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</si>
  <si>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</si>
  <si>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</si>
  <si>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</si>
  <si>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</si>
  <si>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</si>
  <si>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</si>
  <si>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</si>
  <si>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</si>
  <si>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</si>
  <si>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</si>
  <si>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</si>
  <si>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</si>
  <si>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</si>
  <si>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</si>
  <si>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</si>
  <si>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</si>
  <si>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</si>
  <si>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</si>
  <si>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</si>
  <si>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</si>
  <si>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</si>
  <si>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</si>
  <si>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</si>
  <si>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</si>
  <si>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</si>
  <si>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</si>
  <si>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</si>
  <si>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</si>
  <si>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</si>
  <si>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</si>
  <si>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</si>
  <si>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</si>
  <si>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</si>
  <si>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</si>
  <si>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</si>
  <si>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</si>
  <si>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</si>
  <si>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</si>
  <si>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</si>
  <si>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</si>
  <si>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</si>
  <si>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</si>
  <si>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</si>
  <si>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</si>
  <si>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</si>
  <si>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</si>
  <si>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</si>
  <si>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</si>
  <si>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</si>
  <si>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</si>
  <si>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</si>
  <si>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</si>
  <si>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</si>
  <si>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</si>
  <si>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</si>
  <si>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</si>
  <si>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</si>
  <si>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</si>
  <si>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</si>
  <si>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</si>
  <si>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</si>
  <si>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</si>
  <si>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</si>
  <si>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</si>
  <si>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</si>
  <si>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</si>
  <si>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</si>
  <si>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</si>
  <si>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</si>
  <si>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</si>
  <si>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</si>
  <si>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</si>
  <si>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</si>
  <si>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</si>
  <si>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</si>
  <si>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</si>
  <si>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</si>
  <si>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</si>
  <si>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</si>
  <si>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</si>
  <si>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</si>
  <si>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</si>
  <si>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</si>
  <si>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</si>
  <si>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</si>
  <si>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</si>
  <si>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</si>
  <si>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</si>
  <si>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</si>
  <si>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</si>
  <si>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</si>
  <si>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</si>
  <si>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</si>
  <si>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</si>
  <si>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</si>
  <si>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</si>
  <si>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</si>
  <si>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</si>
  <si>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</si>
  <si>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</si>
  <si>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</si>
  <si>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</si>
  <si>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</si>
  <si>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</si>
  <si>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</si>
  <si>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</si>
  <si>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</si>
  <si>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</si>
  <si>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</si>
  <si>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</si>
  <si>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</si>
  <si>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</si>
  <si>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</si>
  <si>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</si>
  <si>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</si>
  <si>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</si>
  <si>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</si>
  <si>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</si>
  <si>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</si>
  <si>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</si>
  <si>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</si>
  <si>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</si>
  <si>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</si>
  <si>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</si>
  <si>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</si>
  <si>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</si>
  <si>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</si>
  <si>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</si>
  <si>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</si>
  <si>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</si>
  <si>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</si>
  <si>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</si>
  <si>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</si>
  <si>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</si>
  <si>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</si>
  <si>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</si>
  <si>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</si>
  <si>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</si>
  <si>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</si>
  <si>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</si>
  <si>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</si>
  <si>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</si>
  <si>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</si>
  <si>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</si>
  <si>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</si>
  <si>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</si>
  <si>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</si>
  <si>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</si>
  <si>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</si>
  <si>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</si>
  <si>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</si>
  <si>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</si>
  <si>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</si>
  <si>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</si>
  <si>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</si>
  <si>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</si>
  <si>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</si>
  <si>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</si>
  <si>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</si>
  <si>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</si>
  <si>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</si>
  <si>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</si>
  <si>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</si>
  <si>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</si>
  <si>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</si>
  <si>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</si>
  <si>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</si>
  <si>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</si>
  <si>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</si>
  <si>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</si>
  <si>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</si>
  <si>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</si>
  <si>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</si>
  <si>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</si>
  <si>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</si>
  <si>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</si>
  <si>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</si>
  <si>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</si>
  <si>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</si>
  <si>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</si>
  <si>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</si>
  <si>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</si>
  <si>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</si>
  <si>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</si>
  <si>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</si>
  <si>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</si>
  <si>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</si>
  <si>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</si>
  <si>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</si>
  <si>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</si>
  <si>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</si>
  <si>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</si>
  <si>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</si>
  <si>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</si>
  <si>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</si>
  <si>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</si>
  <si>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</si>
  <si>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</si>
  <si>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</si>
  <si>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</si>
  <si>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</si>
  <si>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</si>
  <si>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</si>
  <si>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</si>
  <si>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</si>
  <si>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</si>
  <si>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</si>
  <si>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</si>
  <si>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</si>
  <si>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</si>
  <si>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</si>
  <si>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</si>
  <si>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</si>
  <si>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</si>
  <si>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</si>
  <si>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</si>
  <si>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</si>
  <si>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</si>
  <si>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</si>
  <si>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</si>
  <si>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</si>
  <si>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</si>
  <si>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</si>
  <si>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</si>
  <si>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</si>
  <si>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</si>
  <si>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</si>
  <si>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</si>
  <si>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</si>
  <si>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</si>
  <si>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</si>
  <si>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</si>
  <si>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</si>
  <si>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</si>
  <si>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</si>
  <si>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</si>
  <si>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</si>
  <si>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</si>
  <si>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</si>
  <si>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</si>
  <si>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</si>
  <si>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</si>
  <si>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</si>
  <si>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</si>
  <si>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</si>
  <si>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</si>
  <si>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</si>
  <si>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</si>
  <si>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</si>
  <si>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</si>
  <si>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</si>
  <si>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</si>
  <si>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</si>
  <si>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</si>
  <si>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</si>
  <si>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</si>
  <si>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</si>
  <si>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</si>
  <si>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</si>
  <si>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</si>
  <si>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</si>
  <si>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</si>
  <si>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</si>
  <si>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</si>
  <si>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</si>
  <si>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</si>
  <si>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</si>
  <si>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</si>
  <si>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</si>
  <si>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</si>
  <si>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</si>
  <si>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</si>
  <si>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</si>
  <si>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</si>
  <si>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</si>
  <si>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</si>
  <si>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</si>
  <si>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</si>
  <si>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</si>
  <si>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</si>
  <si>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</si>
  <si>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</si>
  <si>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</si>
  <si>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</si>
  <si>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</si>
  <si>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</si>
  <si>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</si>
  <si>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</si>
  <si>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</si>
  <si>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</si>
  <si>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</si>
  <si>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</si>
  <si>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</si>
  <si>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</si>
  <si>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</si>
  <si>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</si>
  <si>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</si>
  <si>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</si>
  <si>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</si>
  <si>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</si>
  <si>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</si>
  <si>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</si>
  <si>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</si>
  <si>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</si>
  <si>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</si>
  <si>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</si>
  <si>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</si>
  <si>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</si>
  <si>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</si>
  <si>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</si>
  <si>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</si>
  <si>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</si>
  <si>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</si>
  <si>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</si>
  <si>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</si>
  <si>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</si>
  <si>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</si>
  <si>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</si>
  <si>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</si>
  <si>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</si>
  <si>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</si>
  <si>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</si>
  <si>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</si>
  <si>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</si>
  <si>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</si>
  <si>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</si>
  <si>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</si>
  <si>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</si>
  <si>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</si>
  <si>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</si>
  <si>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</si>
  <si>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</si>
  <si>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</si>
  <si>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</si>
  <si>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</si>
  <si>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</si>
  <si>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</si>
  <si>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</si>
  <si>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</si>
  <si>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</si>
  <si>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</si>
  <si>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</si>
  <si>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</si>
  <si>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</si>
  <si>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</si>
  <si>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</si>
  <si>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</si>
  <si>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</si>
  <si>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</si>
  <si>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</si>
  <si>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</si>
  <si>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</si>
  <si>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</si>
  <si>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</si>
  <si>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</si>
  <si>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</si>
  <si>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</si>
  <si>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</si>
  <si>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</si>
  <si>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</si>
  <si>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</si>
  <si>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</si>
  <si>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</si>
  <si>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</si>
  <si>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</si>
  <si>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</si>
  <si>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</si>
  <si>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</si>
  <si>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</si>
  <si>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</si>
  <si>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</si>
  <si>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</si>
  <si>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</si>
  <si>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</si>
  <si>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</si>
  <si>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</si>
  <si>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</si>
  <si>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</si>
  <si>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</si>
  <si>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</si>
  <si>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</si>
  <si>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</si>
  <si>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</si>
  <si>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</si>
  <si>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</si>
  <si>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</si>
  <si>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</si>
  <si>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</si>
  <si>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</si>
  <si>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</si>
  <si>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</si>
  <si>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</si>
  <si>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</si>
  <si>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</si>
  <si>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</si>
  <si>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</si>
  <si>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</si>
  <si>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</si>
  <si>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</si>
  <si>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</si>
  <si>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</si>
  <si>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</si>
  <si>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</si>
  <si>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</si>
  <si>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</si>
  <si>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</si>
  <si>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</si>
  <si>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</si>
  <si>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</si>
  <si>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</si>
  <si>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</si>
  <si>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</si>
  <si>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</si>
  <si>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</si>
  <si>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</si>
  <si>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</si>
  <si>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</si>
  <si>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</si>
  <si>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</si>
  <si>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</si>
  <si>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</si>
  <si>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</si>
  <si>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</si>
  <si>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</si>
  <si>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</si>
  <si>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</si>
  <si>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</si>
  <si>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</si>
  <si>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</si>
  <si>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</si>
  <si>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</si>
  <si>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</si>
  <si>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</si>
  <si>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</si>
  <si>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</si>
  <si>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</si>
  <si>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</si>
  <si>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</si>
  <si>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</si>
  <si>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</si>
  <si>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</si>
  <si>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</si>
  <si>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</si>
  <si>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</si>
  <si>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</si>
  <si>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</si>
  <si>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</si>
  <si>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</si>
  <si>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</si>
  <si>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</si>
  <si>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</si>
  <si>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</si>
  <si>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</si>
  <si>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</si>
  <si>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</si>
  <si>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</si>
  <si>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</si>
  <si>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</si>
  <si>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</si>
  <si>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</si>
  <si>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</si>
  <si>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</si>
  <si>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</si>
  <si>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</si>
  <si>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</si>
  <si>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</si>
  <si>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</si>
  <si>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</si>
  <si>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</si>
  <si>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</si>
  <si>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</si>
  <si>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</si>
  <si>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</si>
  <si>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</si>
  <si>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</si>
  <si>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</si>
  <si>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</si>
  <si>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</si>
  <si>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</si>
  <si>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</si>
  <si>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</si>
  <si>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</si>
  <si>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</si>
  <si>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</si>
  <si>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</si>
  <si>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</si>
  <si>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</si>
  <si>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</si>
  <si>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</si>
  <si>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</si>
  <si>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</si>
  <si>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</si>
  <si>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</si>
  <si>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</si>
  <si>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</si>
  <si>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</si>
  <si>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</si>
  <si>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</si>
  <si>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</si>
  <si>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</si>
  <si>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</si>
  <si>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</si>
  <si>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</si>
  <si>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</si>
  <si>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</si>
  <si>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</si>
  <si>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</si>
  <si>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</si>
  <si>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</si>
  <si>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</si>
  <si>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</si>
  <si>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</si>
  <si>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</si>
  <si>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</si>
  <si>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</si>
  <si>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</si>
  <si>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</si>
  <si>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</si>
  <si>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</si>
  <si>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</si>
  <si>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</si>
  <si>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</si>
  <si>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</si>
  <si>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</si>
  <si>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</si>
  <si>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</si>
  <si>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</si>
  <si>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</si>
  <si>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</si>
  <si>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</si>
  <si>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</si>
  <si>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</si>
  <si>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</si>
  <si>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</si>
  <si>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</si>
  <si>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</si>
  <si>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</si>
  <si>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</si>
  <si>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</si>
  <si>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</si>
  <si>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</si>
  <si>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</si>
  <si>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</si>
  <si>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</si>
  <si>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</si>
  <si>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</si>
  <si>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</si>
  <si>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</si>
  <si>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</si>
  <si>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</si>
  <si>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</si>
  <si>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</si>
  <si>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</si>
  <si>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</si>
  <si>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</si>
  <si>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</si>
  <si>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</si>
  <si>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</si>
  <si>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</si>
  <si>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</si>
  <si>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</si>
  <si>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</si>
  <si>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</si>
  <si>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</si>
  <si>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</si>
  <si>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</si>
  <si>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</si>
  <si>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</si>
  <si>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</si>
  <si>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</si>
  <si>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</si>
  <si>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</si>
  <si>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</si>
  <si>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</si>
  <si>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</si>
  <si>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</si>
  <si>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</si>
  <si>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</si>
  <si>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</si>
  <si>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</si>
  <si>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</si>
  <si>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</si>
  <si>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</si>
  <si>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</si>
  <si>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</si>
  <si>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</si>
  <si>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</si>
  <si>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</si>
  <si>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</si>
  <si>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</si>
  <si>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</si>
  <si>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</si>
  <si>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</si>
  <si>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</si>
  <si>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</si>
  <si>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</si>
  <si>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</si>
  <si>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</si>
  <si>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</si>
  <si>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</si>
  <si>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</si>
  <si>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</si>
  <si>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</si>
  <si>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</si>
  <si>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</si>
  <si>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</si>
  <si>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</si>
  <si>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</si>
  <si>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</si>
  <si>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</si>
  <si>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</si>
  <si>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</si>
  <si>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</si>
  <si>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</si>
  <si>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</si>
  <si>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</si>
  <si>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</si>
  <si>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</si>
  <si>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</si>
  <si>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</si>
  <si>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</si>
  <si>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</si>
  <si>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</si>
  <si>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</si>
  <si>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</si>
  <si>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</si>
  <si>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</si>
  <si>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</si>
  <si>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</si>
  <si>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</si>
  <si>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</si>
  <si>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</si>
  <si>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</si>
  <si>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</si>
  <si>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</si>
  <si>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</si>
  <si>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</si>
  <si>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</si>
  <si>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</si>
  <si>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</si>
  <si>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</si>
  <si>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</si>
  <si>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</si>
  <si>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</si>
  <si>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</si>
  <si>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</si>
  <si>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</si>
  <si>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</si>
  <si>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</si>
  <si>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</si>
  <si>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</si>
  <si>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</si>
  <si>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</si>
  <si>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</si>
  <si>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</si>
  <si>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</si>
  <si>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</si>
  <si>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</si>
  <si>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</si>
  <si>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</si>
  <si>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</si>
  <si>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</si>
  <si>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</si>
  <si>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</si>
  <si>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</si>
  <si>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</si>
  <si>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</si>
  <si>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</si>
  <si>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</si>
  <si>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</si>
  <si>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</si>
  <si>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</si>
  <si>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</si>
  <si>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</si>
  <si>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</si>
  <si>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</si>
  <si>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</si>
  <si>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</si>
  <si>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</si>
  <si>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</si>
  <si>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</si>
  <si>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</si>
  <si>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</si>
  <si>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</si>
  <si>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</si>
  <si>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</si>
  <si>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</si>
  <si>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</si>
  <si>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</si>
  <si>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</si>
  <si>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</si>
  <si>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</si>
  <si>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</si>
  <si>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</si>
  <si>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</si>
  <si>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</si>
  <si>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</si>
  <si>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</si>
  <si>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</si>
  <si>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</si>
  <si>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</si>
  <si>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</si>
  <si>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</si>
  <si>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</si>
  <si>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</si>
  <si>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</si>
  <si>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</si>
  <si>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</si>
  <si>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</si>
  <si>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</si>
  <si>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</si>
  <si>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</si>
  <si>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</si>
  <si>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</si>
  <si>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</si>
  <si>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</si>
  <si>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</si>
  <si>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</si>
  <si>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</si>
  <si>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</si>
  <si>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</si>
  <si>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</si>
  <si>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</si>
  <si>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</si>
  <si>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</si>
  <si>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</si>
  <si>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</si>
  <si>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</si>
  <si>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</si>
  <si>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</si>
  <si>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</si>
  <si>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</si>
  <si>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</si>
  <si>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</si>
  <si>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</si>
  <si>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</si>
  <si>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</si>
  <si>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</si>
  <si>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</si>
  <si>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</si>
  <si>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</si>
  <si>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</si>
  <si>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</si>
  <si>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</si>
  <si>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</si>
  <si>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</si>
  <si>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</si>
  <si>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</si>
  <si>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</si>
  <si>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</si>
  <si>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</si>
  <si>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</si>
  <si>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</si>
  <si>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</si>
  <si>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</si>
  <si>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</si>
  <si>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</si>
  <si>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</si>
  <si>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</si>
  <si>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</si>
  <si>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</si>
  <si>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</si>
  <si>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</si>
  <si>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</si>
  <si>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</si>
  <si>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</si>
  <si>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</si>
  <si>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</si>
  <si>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</si>
  <si>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</si>
  <si>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</si>
  <si>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</si>
  <si>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</si>
  <si>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</si>
  <si>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</si>
  <si>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</si>
  <si>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</si>
  <si>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</si>
  <si>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</si>
  <si>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</si>
  <si>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</si>
  <si>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</si>
  <si>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</si>
  <si>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</si>
  <si>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</si>
  <si>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</si>
  <si>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</si>
  <si>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</si>
  <si>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</si>
  <si>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</si>
  <si>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</si>
  <si>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</si>
  <si>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</si>
  <si>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</si>
  <si>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</si>
  <si>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</si>
  <si>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</si>
  <si>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</si>
  <si>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</si>
  <si>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</si>
  <si>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</si>
  <si>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</si>
  <si>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</si>
  <si>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</si>
  <si>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</si>
  <si>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</si>
  <si>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</si>
  <si>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</si>
  <si>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</si>
  <si>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</si>
  <si>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</si>
  <si>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</si>
  <si>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</si>
  <si>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</si>
  <si>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</si>
  <si>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</si>
  <si>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</si>
  <si>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</si>
  <si>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</si>
  <si>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</si>
  <si>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</si>
  <si>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</si>
  <si>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</si>
  <si>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</si>
  <si>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</si>
  <si>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</si>
  <si>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</si>
  <si>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</si>
  <si>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</si>
  <si>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</si>
  <si>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</si>
  <si>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</si>
  <si>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</si>
  <si>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</si>
  <si>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</si>
  <si>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</si>
  <si>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</si>
  <si>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</si>
  <si>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</si>
  <si>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</si>
  <si>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</si>
  <si>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</si>
  <si>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</si>
  <si>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</si>
  <si>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</si>
  <si>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</si>
  <si>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</si>
  <si>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</si>
  <si>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</si>
  <si>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</si>
  <si>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</si>
  <si>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</si>
  <si>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</si>
  <si>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</si>
  <si>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</si>
  <si>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</si>
  <si>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</si>
  <si>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</si>
  <si>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</si>
  <si>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</si>
  <si>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</si>
  <si>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</si>
  <si>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</si>
  <si>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</si>
  <si>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</si>
  <si>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</si>
  <si>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</si>
  <si>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</si>
  <si>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</si>
  <si>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</si>
  <si>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</si>
  <si>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</si>
  <si>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</si>
  <si>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</si>
  <si>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</si>
  <si>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</si>
  <si>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</si>
  <si>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</si>
  <si>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</si>
  <si>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</si>
  <si>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</si>
  <si>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</si>
  <si>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</si>
  <si>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</si>
  <si>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</si>
  <si>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</si>
  <si>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</si>
  <si>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</si>
  <si>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</si>
  <si>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</si>
  <si>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</si>
  <si>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</si>
  <si>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</si>
  <si>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</si>
  <si>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</si>
  <si>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</si>
  <si>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</si>
  <si>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</si>
  <si>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</si>
  <si>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</si>
  <si>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</si>
  <si>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</si>
  <si>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</si>
  <si>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</si>
  <si>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</si>
  <si>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</si>
  <si>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</si>
  <si>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</si>
  <si>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</si>
  <si>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</si>
  <si>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</si>
  <si>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</si>
  <si>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</si>
  <si>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</si>
  <si>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</si>
  <si>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</si>
  <si>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</si>
  <si>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</si>
  <si>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</si>
  <si>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</si>
  <si>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</si>
  <si>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</si>
  <si>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</si>
  <si>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</si>
  <si>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</si>
  <si>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</si>
  <si>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</si>
  <si>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</si>
  <si>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</si>
  <si>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</si>
  <si>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</si>
  <si>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</si>
  <si>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</si>
  <si>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</si>
  <si>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</si>
  <si>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</si>
  <si>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</si>
  <si>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</si>
  <si>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</si>
  <si>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</si>
  <si>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</si>
  <si>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</si>
  <si>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</si>
  <si>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</si>
  <si>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</si>
  <si>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</si>
  <si>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</si>
  <si>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</si>
  <si>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</si>
  <si>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</si>
  <si>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</si>
  <si>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</si>
  <si>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</si>
  <si>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</si>
  <si>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</si>
  <si>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</si>
  <si>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</si>
  <si>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</si>
  <si>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</si>
  <si>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</si>
  <si>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</si>
  <si>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</si>
  <si>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</si>
  <si>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</si>
  <si>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</si>
  <si>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</si>
  <si>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</si>
  <si>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</si>
  <si>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</si>
  <si>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</si>
  <si>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</si>
  <si>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</si>
  <si>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</si>
  <si>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</si>
  <si>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</si>
  <si>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</si>
  <si>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</si>
  <si>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</si>
  <si>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</si>
  <si>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</si>
  <si>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</si>
  <si>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</si>
  <si>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</si>
  <si>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</si>
  <si>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</si>
  <si>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</si>
  <si>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</si>
  <si>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</si>
  <si>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</si>
  <si>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</si>
  <si>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</si>
  <si>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</si>
  <si>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</si>
  <si>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</si>
  <si>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</si>
  <si>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</si>
  <si>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</si>
  <si>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</si>
  <si>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</si>
  <si>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</si>
  <si>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</si>
  <si>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</si>
  <si>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</si>
  <si>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</si>
  <si>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</si>
  <si>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</si>
  <si>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</si>
  <si>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</si>
  <si>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</si>
  <si>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</si>
  <si>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</si>
  <si>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</si>
  <si>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</si>
  <si>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</si>
  <si>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</si>
  <si>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</si>
  <si>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</si>
  <si>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</si>
  <si>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</si>
  <si>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</si>
  <si>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</si>
  <si>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</si>
  <si>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</si>
  <si>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</si>
  <si>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</si>
  <si>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</si>
  <si>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</si>
  <si>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</si>
  <si>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</si>
  <si>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</si>
  <si>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</si>
  <si>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</si>
  <si>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</si>
  <si>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</si>
  <si>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</si>
  <si>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</si>
  <si>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</si>
  <si>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</si>
  <si>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</si>
  <si>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</si>
  <si>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</si>
  <si>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</si>
  <si>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</si>
  <si>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</si>
  <si>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</si>
  <si>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</si>
  <si>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</si>
  <si>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</si>
  <si>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</si>
  <si>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</si>
  <si>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</si>
  <si>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</si>
  <si>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</si>
  <si>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</si>
  <si>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</si>
  <si>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</si>
  <si>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</si>
  <si>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</si>
  <si>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</si>
  <si>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</si>
  <si>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</si>
  <si>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</si>
  <si>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</si>
  <si>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</si>
  <si>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</si>
  <si>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</si>
  <si>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</si>
  <si>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</si>
  <si>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</si>
  <si>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</si>
  <si>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</si>
  <si>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</si>
  <si>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</si>
  <si>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</si>
  <si>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</si>
  <si>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</si>
  <si>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</si>
  <si>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</si>
  <si>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</si>
  <si>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</si>
  <si>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</si>
  <si>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</si>
  <si>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</si>
  <si>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</si>
  <si>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</si>
  <si>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</si>
  <si>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</si>
  <si>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</si>
  <si>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</si>
  <si>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</si>
  <si>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</si>
  <si>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</si>
  <si>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</si>
  <si>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</si>
  <si>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</si>
  <si>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</si>
  <si>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</si>
  <si>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</si>
  <si>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</si>
  <si>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</si>
  <si>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</si>
  <si>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</si>
  <si>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</si>
  <si>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</si>
  <si>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</si>
  <si>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</si>
  <si>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</si>
  <si>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</si>
  <si>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</si>
  <si>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</si>
  <si>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</si>
  <si>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</si>
  <si>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</si>
  <si>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</si>
  <si>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</si>
  <si>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</si>
  <si>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</si>
  <si>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</si>
  <si>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</si>
  <si>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</si>
  <si>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</si>
  <si>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</si>
  <si>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</si>
  <si>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</si>
  <si>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</si>
  <si>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</si>
  <si>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</si>
  <si>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</si>
  <si>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</si>
  <si>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</si>
  <si>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</si>
  <si>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</si>
  <si>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</si>
  <si>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</si>
  <si>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</si>
  <si>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</si>
  <si>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</si>
  <si>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</si>
  <si>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</si>
  <si>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</si>
  <si>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</si>
  <si>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</si>
  <si>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</si>
  <si>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</si>
  <si>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</si>
  <si>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</si>
  <si>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</si>
  <si>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</si>
  <si>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</si>
  <si>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</si>
  <si>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</si>
  <si>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</si>
  <si>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</si>
  <si>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</si>
  <si>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</si>
  <si>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</si>
  <si>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</si>
  <si>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</si>
  <si>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</si>
  <si>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</si>
  <si>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</si>
  <si>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</si>
  <si>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</si>
  <si>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</si>
  <si>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</si>
  <si>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</si>
  <si>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</si>
  <si>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</si>
  <si>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</si>
  <si>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</si>
  <si>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</si>
  <si>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</si>
  <si>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</si>
  <si>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</si>
  <si>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</si>
  <si>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</si>
  <si>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</si>
  <si>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</si>
  <si>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</si>
  <si>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</si>
  <si>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</si>
  <si>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</si>
  <si>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</si>
  <si>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</si>
  <si>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</si>
  <si>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</si>
  <si>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</si>
  <si>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</si>
  <si>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</si>
  <si>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</si>
  <si>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</si>
  <si>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</si>
  <si>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</si>
  <si>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</si>
  <si>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</si>
  <si>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</si>
  <si>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</si>
  <si>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</si>
  <si>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</si>
  <si>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</si>
  <si>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</si>
  <si>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</si>
  <si>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</si>
  <si>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</si>
  <si>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</si>
  <si>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</si>
  <si>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</si>
  <si>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</si>
  <si>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</si>
  <si>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</si>
  <si>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</si>
  <si>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</si>
  <si>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</si>
  <si>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</si>
  <si>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</si>
  <si>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</si>
  <si>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</si>
  <si>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</si>
  <si>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</si>
  <si>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</si>
  <si>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</si>
  <si>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</si>
  <si>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</si>
  <si>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</si>
  <si>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</si>
  <si>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</si>
  <si>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</si>
  <si>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</si>
  <si>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</si>
  <si>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</si>
  <si>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</si>
  <si>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</si>
  <si>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</si>
  <si>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</si>
  <si>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</si>
  <si>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</si>
  <si>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</si>
  <si>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</si>
  <si>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</si>
  <si>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</si>
  <si>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</si>
  <si>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</si>
  <si>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</si>
  <si>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</si>
  <si>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</si>
  <si>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</si>
  <si>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</si>
  <si>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</si>
  <si>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</si>
  <si>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</si>
  <si>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</si>
  <si>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</si>
  <si>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</si>
  <si>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</si>
  <si>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</si>
  <si>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</si>
  <si>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</si>
  <si>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</si>
  <si>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</si>
  <si>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</si>
  <si>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</si>
  <si>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</si>
  <si>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</si>
  <si>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</si>
  <si>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</si>
  <si>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</si>
  <si>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</si>
  <si>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</si>
  <si>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</si>
  <si>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</si>
  <si>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</si>
  <si>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</si>
  <si>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</si>
  <si>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</si>
  <si>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</si>
  <si>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</si>
  <si>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</si>
  <si>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</si>
  <si>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</si>
  <si>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</si>
  <si>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</si>
  <si>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</si>
  <si>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</si>
  <si>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</si>
  <si>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</si>
  <si>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</si>
  <si>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</si>
  <si>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</si>
  <si>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</si>
  <si>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</si>
  <si>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</si>
  <si>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</si>
  <si>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</si>
  <si>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</si>
  <si>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</si>
  <si>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</si>
  <si>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</si>
  <si>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</si>
  <si>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</si>
  <si>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</si>
  <si>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</si>
  <si>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</si>
  <si>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</si>
  <si>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</si>
  <si>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</si>
  <si>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</si>
  <si>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</si>
  <si>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</si>
  <si>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</si>
  <si>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</si>
  <si>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</si>
  <si>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</si>
  <si>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</si>
  <si>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</si>
  <si>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</si>
  <si>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</si>
  <si>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</si>
  <si>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</si>
  <si>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</si>
  <si>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</si>
  <si>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</si>
  <si>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</si>
  <si>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</si>
  <si>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</si>
  <si>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</si>
  <si>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</si>
  <si>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</si>
  <si>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</si>
  <si>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</si>
  <si>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</si>
  <si>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</si>
  <si>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</si>
  <si>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</si>
  <si>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</si>
  <si>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</si>
  <si>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</si>
  <si>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</si>
  <si>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</si>
  <si>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</si>
  <si>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</si>
  <si>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</si>
  <si>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</si>
  <si>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</si>
  <si>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</si>
  <si>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</si>
  <si>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</si>
  <si>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</si>
  <si>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</si>
  <si>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</si>
  <si>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</si>
  <si>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</si>
  <si>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</si>
  <si>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</si>
  <si>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</si>
  <si>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</si>
  <si>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</si>
  <si>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</si>
  <si>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</si>
  <si>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</si>
  <si>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</si>
  <si>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</si>
  <si>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</si>
  <si>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</si>
  <si>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</si>
  <si>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</si>
  <si>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</si>
  <si>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</si>
  <si>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</si>
  <si>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</si>
  <si>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</si>
  <si>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</si>
  <si>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</si>
  <si>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</si>
  <si>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</si>
  <si>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</si>
  <si>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</si>
  <si>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</si>
  <si>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</si>
  <si>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</si>
  <si>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</si>
  <si>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</si>
  <si>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</si>
  <si>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</si>
  <si>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</si>
  <si>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</si>
  <si>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</si>
  <si>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</si>
  <si>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</si>
  <si>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</si>
  <si>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</si>
  <si>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</si>
  <si>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</si>
  <si>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</si>
  <si>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</si>
  <si>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</si>
  <si>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</si>
  <si>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</si>
  <si>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</si>
  <si>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</si>
  <si>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</si>
  <si>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</si>
  <si>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</si>
  <si>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</si>
  <si>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</si>
  <si>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</si>
  <si>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</si>
  <si>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</si>
  <si>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</si>
  <si>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</si>
  <si>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</si>
  <si>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</si>
  <si>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</si>
  <si>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</si>
  <si>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</si>
  <si>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</si>
  <si>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</si>
  <si>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</si>
  <si>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</si>
  <si>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</si>
  <si>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</si>
  <si>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</si>
  <si>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</si>
  <si>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</si>
  <si>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</si>
  <si>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</si>
  <si>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</si>
  <si>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</si>
  <si>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</si>
  <si>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</si>
  <si>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</si>
  <si>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</si>
  <si>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</si>
  <si>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</si>
  <si>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</si>
  <si>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</si>
  <si>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</si>
  <si>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</si>
  <si>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</si>
  <si>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</si>
  <si>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</si>
  <si>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</si>
  <si>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</si>
  <si>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</si>
  <si>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</si>
  <si>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</si>
  <si>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</si>
  <si>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</si>
  <si>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</si>
  <si>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</si>
  <si>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</si>
  <si>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</si>
  <si>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</si>
  <si>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</si>
  <si>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</si>
  <si>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</si>
  <si>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</si>
  <si>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</si>
  <si>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</si>
  <si>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</si>
  <si>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</si>
  <si>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</si>
  <si>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</si>
  <si>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</si>
  <si>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</si>
  <si>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</si>
  <si>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</si>
  <si>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</si>
  <si>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</si>
  <si>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</si>
  <si>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</si>
  <si>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</si>
  <si>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</si>
  <si>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</si>
  <si>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</si>
  <si>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</si>
  <si>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</si>
  <si>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</si>
  <si>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</si>
  <si>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</si>
  <si>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</si>
  <si>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</si>
  <si>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</si>
  <si>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</si>
  <si>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</si>
  <si>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</si>
  <si>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</si>
  <si>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</si>
  <si>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</si>
  <si>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</si>
  <si>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</si>
  <si>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</si>
  <si>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</si>
  <si>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</si>
  <si>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</si>
  <si>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</si>
  <si>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</si>
  <si>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</si>
  <si>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</si>
  <si>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</si>
  <si>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</si>
  <si>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</si>
  <si>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</si>
  <si>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</si>
  <si>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</si>
  <si>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</si>
  <si>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</si>
  <si>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</si>
  <si>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</si>
  <si>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</si>
  <si>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</si>
  <si>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</si>
  <si>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</si>
  <si>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</si>
  <si>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</si>
  <si>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</si>
  <si>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</si>
  <si>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</si>
  <si>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</si>
  <si>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</si>
  <si>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</si>
  <si>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</si>
  <si>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</si>
  <si>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</si>
  <si>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</si>
  <si>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</si>
  <si>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</si>
  <si>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</si>
  <si>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</si>
  <si>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</si>
  <si>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</si>
  <si>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</si>
  <si>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</si>
  <si>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</si>
  <si>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</si>
  <si>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</si>
  <si>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</si>
  <si>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</si>
  <si>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</si>
  <si>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</si>
  <si>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</si>
  <si>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</si>
  <si>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</si>
  <si>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</si>
  <si>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</si>
  <si>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</si>
  <si>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</si>
  <si>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</si>
  <si>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</si>
  <si>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</si>
  <si>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</si>
  <si>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</si>
  <si>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</si>
  <si>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</si>
  <si>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</si>
  <si>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</si>
  <si>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</si>
  <si>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</si>
  <si>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</si>
  <si>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</si>
  <si>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</si>
  <si>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</si>
  <si>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</si>
  <si>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</si>
  <si>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</si>
  <si>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</si>
  <si>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</si>
  <si>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</si>
  <si>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</si>
  <si>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</si>
  <si>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</si>
  <si>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</si>
  <si>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</si>
  <si>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</si>
  <si>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</si>
  <si>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</si>
  <si>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</si>
  <si>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</si>
  <si>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</si>
  <si>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</si>
  <si>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</si>
  <si>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</si>
  <si>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</si>
  <si>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</si>
  <si>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</si>
  <si>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</si>
  <si>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</si>
  <si>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</si>
  <si>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</si>
  <si>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</si>
  <si>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</si>
  <si>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</si>
  <si>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</si>
  <si>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</si>
  <si>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</si>
  <si>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</si>
  <si>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</si>
  <si>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</si>
  <si>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</si>
  <si>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</si>
  <si>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</si>
  <si>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</si>
  <si>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</si>
  <si>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</si>
  <si>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</si>
  <si>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</si>
  <si>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</si>
  <si>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</si>
  <si>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</si>
  <si>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</si>
  <si>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</si>
  <si>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</si>
  <si>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</si>
  <si>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</si>
  <si>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</si>
  <si>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</si>
  <si>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</si>
  <si>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</si>
  <si>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</si>
  <si>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</si>
  <si>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</si>
  <si>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</si>
  <si>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</si>
  <si>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</si>
  <si>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</si>
  <si>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</si>
  <si>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</si>
  <si>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</si>
  <si>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</si>
  <si>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</si>
  <si>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</si>
  <si>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</si>
  <si>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</si>
  <si>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</si>
  <si>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</si>
  <si>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</si>
  <si>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</si>
  <si>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</si>
  <si>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</si>
  <si>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</si>
  <si>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</si>
  <si>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</si>
  <si>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</si>
  <si>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</si>
  <si>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</si>
  <si>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</si>
  <si>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</si>
  <si>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</si>
  <si>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</si>
  <si>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</si>
  <si>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</si>
  <si>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</si>
  <si>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</si>
  <si>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</si>
  <si>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</si>
  <si>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</si>
  <si>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</si>
  <si>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</si>
  <si>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</si>
  <si>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</si>
  <si>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</si>
  <si>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</si>
  <si>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</si>
  <si>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</si>
  <si>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</si>
  <si>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</si>
  <si>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</si>
  <si>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</si>
  <si>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</si>
  <si>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</si>
  <si>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</si>
  <si>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</si>
  <si>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</si>
  <si>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</si>
  <si>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</si>
  <si>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</si>
  <si>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</si>
  <si>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</si>
  <si>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</si>
  <si>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</si>
  <si>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</si>
  <si>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</si>
  <si>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</si>
  <si>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</si>
  <si>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</si>
  <si>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</si>
  <si>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</si>
  <si>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</si>
  <si>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</si>
  <si>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</si>
  <si>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</si>
  <si>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</si>
  <si>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</si>
  <si>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</si>
  <si>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</si>
  <si>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</si>
  <si>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</si>
  <si>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</si>
  <si>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</si>
  <si>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</si>
  <si>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</si>
  <si>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</si>
  <si>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</si>
  <si>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</si>
  <si>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</si>
  <si>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</si>
  <si>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</si>
  <si>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</si>
  <si>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</si>
  <si>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</si>
  <si>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</si>
  <si>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</si>
  <si>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</si>
  <si>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</si>
  <si>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</si>
  <si>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</si>
  <si>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</si>
  <si>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</si>
  <si>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</si>
  <si>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</si>
  <si>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</si>
  <si>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</si>
  <si>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</si>
  <si>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</si>
  <si>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</si>
  <si>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</si>
  <si>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</si>
  <si>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</si>
  <si>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</si>
  <si>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</si>
  <si>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</si>
  <si>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</si>
  <si>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</si>
  <si>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</si>
  <si>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</si>
  <si>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</si>
  <si>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</si>
  <si>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</si>
  <si>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</si>
  <si>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</si>
  <si>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</si>
  <si>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</si>
  <si>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</si>
  <si>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</si>
  <si>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</si>
  <si>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</si>
  <si>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</si>
  <si>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</si>
  <si>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</si>
  <si>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</si>
  <si>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</si>
  <si>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</si>
  <si>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</si>
  <si>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</si>
  <si>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</si>
  <si>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</si>
  <si>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</si>
  <si>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</si>
  <si>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</si>
  <si>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</si>
  <si>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</si>
  <si>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</si>
  <si>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</si>
  <si>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</si>
  <si>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</si>
  <si>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</si>
  <si>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</si>
  <si>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</si>
  <si>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</si>
  <si>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</si>
  <si>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</si>
  <si>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</si>
  <si>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</si>
  <si>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</si>
  <si>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</si>
  <si>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</si>
  <si>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</si>
  <si>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</si>
  <si>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</si>
  <si>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</si>
  <si>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</si>
  <si>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</si>
  <si>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</si>
  <si>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</si>
  <si>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</si>
  <si>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</si>
  <si>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</si>
  <si>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</si>
  <si>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</si>
  <si>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</si>
  <si>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</si>
  <si>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</si>
  <si>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</si>
  <si>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</si>
  <si>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</si>
  <si>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</si>
  <si>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</si>
  <si>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</si>
  <si>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</si>
  <si>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</si>
  <si>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</si>
  <si>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</si>
  <si>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</si>
  <si>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</si>
  <si>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</si>
  <si>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</si>
  <si>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</si>
  <si>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</si>
  <si>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</si>
  <si>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</si>
  <si>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</si>
  <si>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</si>
  <si>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</si>
  <si>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</si>
  <si>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</si>
  <si>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</si>
  <si>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</si>
  <si>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</si>
  <si>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</si>
  <si>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</si>
  <si>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</si>
  <si>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</si>
  <si>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</si>
  <si>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</si>
  <si>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</si>
  <si>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</si>
  <si>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</si>
  <si>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</si>
  <si>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</si>
  <si>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</si>
  <si>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</si>
  <si>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</si>
  <si>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</si>
  <si>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</si>
  <si>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</si>
  <si>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</si>
  <si>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</si>
  <si>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</si>
  <si>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</si>
  <si>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</si>
  <si>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</si>
  <si>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</si>
  <si>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</si>
  <si>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</si>
  <si>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</si>
  <si>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</si>
  <si>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</si>
  <si>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</si>
  <si>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</si>
  <si>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</si>
  <si>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</si>
  <si>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</si>
  <si>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</si>
  <si>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</si>
  <si>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</si>
  <si>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</si>
  <si>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</si>
  <si>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</si>
  <si>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</si>
  <si>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</si>
  <si>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</si>
  <si>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</si>
  <si>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</si>
  <si>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</si>
  <si>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</si>
  <si>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</si>
  <si>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</si>
  <si>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</si>
  <si>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</si>
  <si>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</si>
  <si>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</si>
  <si>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</si>
  <si>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</si>
  <si>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</si>
  <si>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</si>
  <si>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</si>
  <si>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</si>
  <si>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</si>
  <si>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</si>
  <si>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</si>
  <si>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</si>
  <si>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</si>
  <si>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</si>
  <si>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</si>
  <si>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</si>
  <si>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</si>
  <si>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</si>
  <si>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</si>
  <si>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</si>
  <si>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</si>
  <si>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</si>
  <si>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</si>
  <si>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</si>
  <si>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</si>
  <si>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</si>
  <si>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</si>
  <si>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</si>
  <si>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</si>
  <si>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</si>
  <si>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</si>
  <si>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</si>
  <si>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</si>
  <si>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</si>
  <si>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</si>
  <si>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</si>
  <si>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</si>
  <si>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</si>
  <si>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</si>
  <si>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</si>
  <si>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</si>
  <si>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</si>
  <si>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</si>
  <si>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</si>
  <si>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</si>
  <si>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</si>
  <si>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</si>
  <si>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</si>
  <si>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</si>
  <si>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</si>
  <si>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</si>
  <si>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</si>
  <si>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</si>
  <si>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</si>
  <si>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</si>
  <si>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</si>
  <si>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</si>
  <si>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</si>
  <si>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</si>
  <si>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</si>
  <si>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</si>
  <si>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</si>
  <si>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</si>
  <si>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</si>
  <si>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</si>
  <si>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</si>
  <si>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</si>
  <si>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</si>
  <si>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</si>
  <si>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</si>
  <si>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</si>
  <si>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</si>
  <si>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</si>
  <si>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</si>
  <si>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</si>
  <si>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</si>
  <si>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</si>
  <si>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</si>
  <si>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</si>
  <si>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</si>
  <si>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</si>
  <si>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</si>
  <si>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</si>
  <si>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</si>
  <si>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</si>
  <si>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</si>
  <si>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</si>
  <si>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</si>
  <si>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</si>
  <si>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</si>
  <si>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</si>
  <si>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</si>
  <si>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</si>
  <si>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</si>
  <si>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</si>
  <si>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</si>
  <si>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</si>
  <si>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</si>
  <si>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</si>
  <si>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</si>
  <si>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</si>
  <si>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</si>
  <si>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</si>
  <si>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</si>
  <si>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</si>
  <si>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</si>
  <si>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</si>
  <si>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</si>
  <si>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</si>
  <si>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</si>
  <si>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</si>
  <si>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</si>
  <si>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</si>
  <si>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</si>
  <si>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</si>
  <si>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</si>
  <si>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</si>
  <si>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</si>
  <si>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</si>
  <si>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</si>
  <si>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</si>
  <si>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</si>
  <si>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</si>
  <si>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</si>
  <si>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</si>
  <si>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</si>
  <si>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</si>
  <si>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</si>
  <si>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</si>
  <si>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</si>
  <si>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</si>
  <si>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</si>
  <si>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</si>
  <si>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</si>
  <si>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</si>
  <si>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</si>
  <si>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</si>
  <si>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</si>
  <si>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</si>
  <si>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</si>
  <si>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</si>
  <si>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</si>
  <si>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</si>
  <si>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</si>
  <si>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</si>
  <si>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</si>
  <si>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</si>
  <si>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</si>
  <si>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</si>
  <si>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</si>
  <si>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</si>
  <si>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</si>
  <si>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</si>
  <si>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</si>
  <si>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</si>
  <si>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</si>
  <si>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</si>
  <si>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</si>
  <si>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</si>
  <si>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</si>
  <si>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</si>
  <si>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</si>
  <si>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</si>
  <si>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</si>
  <si>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</si>
  <si>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</si>
  <si>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</si>
  <si>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</si>
  <si>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</si>
  <si>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</si>
  <si>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</si>
  <si>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</si>
  <si>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</si>
  <si>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</si>
  <si>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</si>
  <si>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</si>
  <si>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</si>
  <si>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</si>
  <si>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</si>
  <si>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</si>
  <si>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</si>
  <si>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</si>
  <si>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</si>
  <si>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</si>
  <si>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</si>
  <si>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</si>
  <si>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</si>
  <si>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</si>
  <si>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</si>
  <si>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</si>
  <si>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</si>
  <si>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</si>
  <si>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</si>
  <si>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</si>
  <si>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</si>
  <si>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</si>
  <si>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</si>
  <si>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</si>
  <si>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</si>
  <si>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</si>
  <si>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</si>
  <si>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</si>
  <si>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</si>
  <si>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</si>
  <si>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</si>
  <si>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</si>
  <si>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</si>
  <si>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</si>
  <si>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</si>
  <si>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</si>
  <si>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</si>
  <si>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</si>
  <si>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</si>
  <si>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</si>
  <si>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</si>
  <si>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</si>
  <si>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</si>
  <si>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</si>
  <si>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</si>
  <si>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</si>
  <si>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</si>
  <si>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</si>
  <si>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</si>
  <si>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</si>
  <si>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</si>
  <si>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</si>
  <si>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</si>
  <si>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</si>
  <si>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</si>
  <si>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</si>
  <si>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</si>
  <si>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</si>
  <si>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</si>
  <si>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</si>
  <si>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</si>
  <si>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</si>
  <si>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</si>
  <si>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</si>
  <si>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</si>
  <si>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</si>
  <si>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</si>
  <si>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</si>
  <si>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</si>
  <si>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</si>
  <si>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</si>
  <si>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</si>
  <si>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</si>
  <si>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</si>
  <si>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</si>
  <si>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</si>
  <si>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</si>
  <si>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</si>
  <si>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</si>
  <si>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</si>
  <si>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</si>
  <si>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</si>
  <si>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</si>
  <si>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</si>
  <si>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</si>
  <si>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</si>
  <si>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</si>
  <si>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</si>
  <si>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</si>
  <si>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</si>
  <si>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</si>
  <si>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</si>
  <si>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</si>
  <si>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</si>
  <si>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</si>
  <si>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</si>
  <si>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</si>
  <si>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</si>
  <si>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</si>
  <si>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</si>
  <si>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</si>
  <si>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</si>
  <si>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</si>
  <si>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</si>
  <si>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</si>
  <si>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</si>
  <si>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</si>
  <si>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</si>
  <si>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</si>
  <si>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</si>
  <si>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</si>
  <si>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</si>
  <si>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</si>
  <si>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</si>
  <si>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</si>
  <si>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</si>
  <si>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</si>
  <si>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</si>
  <si>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</si>
  <si>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</si>
  <si>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</si>
  <si>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</si>
  <si>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</si>
  <si>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</si>
  <si>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</si>
  <si>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</si>
  <si>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</si>
  <si>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</si>
  <si>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</si>
  <si>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</si>
  <si>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</si>
  <si>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</si>
  <si>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</si>
  <si>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</si>
  <si>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</si>
  <si>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</si>
  <si>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</si>
  <si>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</si>
  <si>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</si>
  <si>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</si>
  <si>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</si>
  <si>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</si>
  <si>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</si>
  <si>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</si>
  <si>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</si>
  <si>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</si>
  <si>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</si>
  <si>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</si>
  <si>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</si>
  <si>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</si>
  <si>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</si>
  <si>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</si>
  <si>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</si>
  <si>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</si>
  <si>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</si>
  <si>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</si>
  <si>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</si>
  <si>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</si>
  <si>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</si>
  <si>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</si>
  <si>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</si>
  <si>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</si>
  <si>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</si>
  <si>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</si>
  <si>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</si>
  <si>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</si>
  <si>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</si>
  <si>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</si>
  <si>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</si>
  <si>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</si>
  <si>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</si>
  <si>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</si>
  <si>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</si>
  <si>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</si>
  <si>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</si>
  <si>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</si>
  <si>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</si>
  <si>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</si>
  <si>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</si>
  <si>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</si>
  <si>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</si>
  <si>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</si>
  <si>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</si>
  <si>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</si>
  <si>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</si>
  <si>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</si>
  <si>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</si>
  <si>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</si>
  <si>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</si>
  <si>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</si>
  <si>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</si>
  <si>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</si>
  <si>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</si>
  <si>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</si>
  <si>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</si>
  <si>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</si>
  <si>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</si>
  <si>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</si>
  <si>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</si>
  <si>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</si>
  <si>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</si>
  <si>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</si>
  <si>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</si>
  <si>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</si>
  <si>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</si>
  <si>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</si>
  <si>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</si>
  <si>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</si>
  <si>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</si>
  <si>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</si>
  <si>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</si>
  <si>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</si>
  <si>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</si>
  <si>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</si>
  <si>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</si>
  <si>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</si>
  <si>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</si>
  <si>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</si>
  <si>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</si>
  <si>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</si>
  <si>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</si>
  <si>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</si>
  <si>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</si>
  <si>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</si>
  <si>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</si>
  <si>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</si>
  <si>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</si>
  <si>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</si>
  <si>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</si>
  <si>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</si>
  <si>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</si>
  <si>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</si>
  <si>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</si>
  <si>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</si>
  <si>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</si>
  <si>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</si>
  <si>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</si>
  <si>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</si>
  <si>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</si>
  <si>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</si>
  <si>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</si>
  <si>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</si>
  <si>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</si>
  <si>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</si>
  <si>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</si>
  <si>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</si>
  <si>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</si>
  <si>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</si>
  <si>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</si>
  <si>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</si>
  <si>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</si>
  <si>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</si>
  <si>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</si>
  <si>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</si>
  <si>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</si>
  <si>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</si>
  <si>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</si>
  <si>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</si>
  <si>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</si>
  <si>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</si>
  <si>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</si>
  <si>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</si>
  <si>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</si>
  <si>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</si>
  <si>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</si>
  <si>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</si>
  <si>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</si>
  <si>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</si>
  <si>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</si>
  <si>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</si>
  <si>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</si>
  <si>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</si>
  <si>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</si>
  <si>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</si>
  <si>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</si>
  <si>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</si>
  <si>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</si>
  <si>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</si>
  <si>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</si>
  <si>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</si>
  <si>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</si>
  <si>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</si>
  <si>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</si>
  <si>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</si>
  <si>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</si>
  <si>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</si>
  <si>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</si>
  <si>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</si>
  <si>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</si>
  <si>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</si>
  <si>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</si>
  <si>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</si>
  <si>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</si>
  <si>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</si>
  <si>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</si>
  <si>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</si>
  <si>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</si>
  <si>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</si>
  <si>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</si>
  <si>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</si>
  <si>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</si>
  <si>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</si>
  <si>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</si>
  <si>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</si>
  <si>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</si>
  <si>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</si>
  <si>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</si>
  <si>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</si>
  <si>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</si>
  <si>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</si>
  <si>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</si>
  <si>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</si>
  <si>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</si>
  <si>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</si>
  <si>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</si>
  <si>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</si>
  <si>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</si>
  <si>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</si>
  <si>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</si>
  <si>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</si>
  <si>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</si>
  <si>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</si>
  <si>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</si>
  <si>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</si>
  <si>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</si>
  <si>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</si>
  <si>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</si>
  <si>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</si>
  <si>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</si>
  <si>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</si>
  <si>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</si>
  <si>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</si>
  <si>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</si>
  <si>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</si>
  <si>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</si>
  <si>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</si>
  <si>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</si>
  <si>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</si>
  <si>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</si>
  <si>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</si>
  <si>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</si>
  <si>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</si>
  <si>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</si>
  <si>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</si>
  <si>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</si>
  <si>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</si>
  <si>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</si>
  <si>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</si>
  <si>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</si>
  <si>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</si>
  <si>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</si>
  <si>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</si>
  <si>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</si>
  <si>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</si>
  <si>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</si>
  <si>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</si>
  <si>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</si>
  <si>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</si>
  <si>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</si>
  <si>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</si>
  <si>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</si>
  <si>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</si>
  <si>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</si>
  <si>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</si>
  <si>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</si>
  <si>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</si>
  <si>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</si>
  <si>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</si>
  <si>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</si>
  <si>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</si>
  <si>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</si>
  <si>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</si>
  <si>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</si>
  <si>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</si>
  <si>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</si>
  <si>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</si>
  <si>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</si>
  <si>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</si>
  <si>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</si>
  <si>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</si>
  <si>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</si>
  <si>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</si>
  <si>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</si>
  <si>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</si>
  <si>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</si>
  <si>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</si>
  <si>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</si>
  <si>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</si>
  <si>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</si>
  <si>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</si>
  <si>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</si>
  <si>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</si>
  <si>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</si>
  <si>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</si>
  <si>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</si>
  <si>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</si>
  <si>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</si>
  <si>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</si>
  <si>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</si>
  <si>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</si>
  <si>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</si>
  <si>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</si>
  <si>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</si>
  <si>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</si>
  <si>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</si>
  <si>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</si>
  <si>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</si>
  <si>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</si>
  <si>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</si>
  <si>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</si>
  <si>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</si>
  <si>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</si>
  <si>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</si>
  <si>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</si>
  <si>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</si>
  <si>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</si>
  <si>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</si>
  <si>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</si>
  <si>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</si>
  <si>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</si>
  <si>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</si>
  <si>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</si>
  <si>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</si>
  <si>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</si>
  <si>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</si>
  <si>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</si>
  <si>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</si>
  <si>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</si>
  <si>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</si>
  <si>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</si>
  <si>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</si>
  <si>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</si>
  <si>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</si>
  <si>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</si>
  <si>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</si>
  <si>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</si>
  <si>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</si>
  <si>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</si>
  <si>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</si>
  <si>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</si>
  <si>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</si>
  <si>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</si>
  <si>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</si>
  <si>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</si>
  <si>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</si>
  <si>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</si>
  <si>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</si>
  <si>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</si>
  <si>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</si>
  <si>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</si>
  <si>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</si>
  <si>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</si>
  <si>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</si>
  <si>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</si>
  <si>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</si>
  <si>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</si>
  <si>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</si>
  <si>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</si>
  <si>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</si>
  <si>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</si>
  <si>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</si>
  <si>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</si>
  <si>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</si>
  <si>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</si>
  <si>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</si>
  <si>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</si>
  <si>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</si>
  <si>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</si>
  <si>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</si>
  <si>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</si>
  <si>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</si>
  <si>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</si>
  <si>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</si>
  <si>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</si>
  <si>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</si>
  <si>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</si>
  <si>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</si>
  <si>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</si>
  <si>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</si>
  <si>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</si>
  <si>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</si>
  <si>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</si>
  <si>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</si>
  <si>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</si>
  <si>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</si>
  <si>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</si>
  <si>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</si>
  <si>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</si>
  <si>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</si>
  <si>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</si>
  <si>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</si>
  <si>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</si>
  <si>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</si>
  <si>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</si>
  <si>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</si>
  <si>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</si>
  <si>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</si>
  <si>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</si>
  <si>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</si>
  <si>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</si>
  <si>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</si>
  <si>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</si>
  <si>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</si>
  <si>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</si>
  <si>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</si>
  <si>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</si>
  <si>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</si>
  <si>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</si>
  <si>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</si>
  <si>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</si>
  <si>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</si>
  <si>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</si>
  <si>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</si>
  <si>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</si>
  <si>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</si>
  <si>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</si>
  <si>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</si>
  <si>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</si>
  <si>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</si>
  <si>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</si>
  <si>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</si>
  <si>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</si>
  <si>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</si>
  <si>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</si>
  <si>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</si>
  <si>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</si>
  <si>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</si>
  <si>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</si>
  <si>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</si>
  <si>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</si>
  <si>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</si>
  <si>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</si>
  <si>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</si>
  <si>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</si>
  <si>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</si>
  <si>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</si>
  <si>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</si>
  <si>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</si>
  <si>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</si>
  <si>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</si>
  <si>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</si>
  <si>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</si>
  <si>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</si>
  <si>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</si>
  <si>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</si>
  <si>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</si>
  <si>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</si>
  <si>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</si>
  <si>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</si>
  <si>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</si>
  <si>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</si>
  <si>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</si>
  <si>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</si>
  <si>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</si>
  <si>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</si>
  <si>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</si>
  <si>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</si>
  <si>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</si>
  <si>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</si>
  <si>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</si>
  <si>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</si>
  <si>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</si>
  <si>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</si>
  <si>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</si>
  <si>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</si>
  <si>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</si>
  <si>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</si>
  <si>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</si>
  <si>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</si>
  <si>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</si>
  <si>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</si>
  <si>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</si>
  <si>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</si>
  <si>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</si>
  <si>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</si>
  <si>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</si>
  <si>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</si>
  <si>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</si>
  <si>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</si>
  <si>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</si>
  <si>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</si>
  <si>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</si>
  <si>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</si>
  <si>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</si>
  <si>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</si>
  <si>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</si>
  <si>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</si>
  <si>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</si>
  <si>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</si>
  <si>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</si>
  <si>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</si>
  <si>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</si>
  <si>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</si>
  <si>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</si>
  <si>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</si>
  <si>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</si>
  <si>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</si>
  <si>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</si>
  <si>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</si>
  <si>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</si>
  <si>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</si>
  <si>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</si>
  <si>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</si>
  <si>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</si>
  <si>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</si>
  <si>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</si>
  <si>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</si>
  <si>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</si>
  <si>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</si>
  <si>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</si>
  <si>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</si>
  <si>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</si>
  <si>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</si>
  <si>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</si>
  <si>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</si>
  <si>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</si>
  <si>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</si>
  <si>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</si>
  <si>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</si>
  <si>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</si>
  <si>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</si>
  <si>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</si>
  <si>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</si>
  <si>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</si>
  <si>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</si>
  <si>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</si>
  <si>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</si>
  <si>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</si>
  <si>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</si>
  <si>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</si>
  <si>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</si>
  <si>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</si>
  <si>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</si>
  <si>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</si>
  <si>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</si>
  <si>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</si>
  <si>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</si>
  <si>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</si>
  <si>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</si>
  <si>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</si>
  <si>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</si>
  <si>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</si>
  <si>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</si>
  <si>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</si>
  <si>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</si>
  <si>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</si>
  <si>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</si>
  <si>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</si>
  <si>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</si>
  <si>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</si>
  <si>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</si>
  <si>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</si>
  <si>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</si>
  <si>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</si>
  <si>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</si>
  <si>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</si>
  <si>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</si>
  <si>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</si>
  <si>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</si>
  <si>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</si>
  <si>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</si>
  <si>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</si>
  <si>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</si>
  <si>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</si>
  <si>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</si>
  <si>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</si>
  <si>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</si>
  <si>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</si>
  <si>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</si>
  <si>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</si>
  <si>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</si>
  <si>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</si>
  <si>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</si>
  <si>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</si>
  <si>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</si>
  <si>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</si>
  <si>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</si>
  <si>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</si>
  <si>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</si>
  <si>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</si>
  <si>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</si>
  <si>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</si>
  <si>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</si>
  <si>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</si>
  <si>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</si>
  <si>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</si>
  <si>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</si>
  <si>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</si>
  <si>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</si>
  <si>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</si>
  <si>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</si>
  <si>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</si>
  <si>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</si>
  <si>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</si>
  <si>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</si>
  <si>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</si>
  <si>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</si>
  <si>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</si>
  <si>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</si>
  <si>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</si>
  <si>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</si>
  <si>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</si>
  <si>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</si>
  <si>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</si>
  <si>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</si>
  <si>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</si>
  <si>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</si>
  <si>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</si>
  <si>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</si>
  <si>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</si>
  <si>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</si>
  <si>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</si>
  <si>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</si>
  <si>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</si>
  <si>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</si>
  <si>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</si>
  <si>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</si>
  <si>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</si>
  <si>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</si>
  <si>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</si>
  <si>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</si>
  <si>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</si>
  <si>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</si>
  <si>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</si>
  <si>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</si>
  <si>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</si>
  <si>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</si>
  <si>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</si>
  <si>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</si>
  <si>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</si>
  <si>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</si>
  <si>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</si>
  <si>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</si>
  <si>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</si>
  <si>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</si>
  <si>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</si>
  <si>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</si>
  <si>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</si>
  <si>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</si>
  <si>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</si>
  <si>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</si>
  <si>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</si>
  <si>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</si>
  <si>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</si>
  <si>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</si>
  <si>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</si>
  <si>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</si>
  <si>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</si>
  <si>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</si>
  <si>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</si>
  <si>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</si>
  <si>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</si>
  <si>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</si>
  <si>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</si>
  <si>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</si>
  <si>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</si>
  <si>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</si>
  <si>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</si>
  <si>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</si>
  <si>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</si>
  <si>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</si>
  <si>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</si>
  <si>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</si>
  <si>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</si>
  <si>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</si>
  <si>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</si>
  <si>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</si>
  <si>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</si>
  <si>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</si>
  <si>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</si>
  <si>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</si>
  <si>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</si>
  <si>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</si>
  <si>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</si>
  <si>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</si>
  <si>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</si>
  <si>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</si>
  <si>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</si>
  <si>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</si>
  <si>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</si>
  <si>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</si>
  <si>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</si>
  <si>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</si>
  <si>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</si>
  <si>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</si>
  <si>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</si>
  <si>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</si>
  <si>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</si>
  <si>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</si>
  <si>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</si>
  <si>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</si>
  <si>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</si>
  <si>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</si>
  <si>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</si>
  <si>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</si>
  <si>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</si>
  <si>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</si>
  <si>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</si>
  <si>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</si>
  <si>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</si>
  <si>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</si>
  <si>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</si>
  <si>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</si>
  <si>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</si>
  <si>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</si>
  <si>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</si>
  <si>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</si>
  <si>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</si>
  <si>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</si>
  <si>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</si>
  <si>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</si>
  <si>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</si>
  <si>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</si>
  <si>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</si>
  <si>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</si>
  <si>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</si>
  <si>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</si>
  <si>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</si>
  <si>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</si>
  <si>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</si>
  <si>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</si>
  <si>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</si>
  <si>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</si>
  <si>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</si>
  <si>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</si>
  <si>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</si>
  <si>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</si>
  <si>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</si>
  <si>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</si>
  <si>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</si>
  <si>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</si>
  <si>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</si>
  <si>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</si>
  <si>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</si>
  <si>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</si>
  <si>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</si>
  <si>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</si>
  <si>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</si>
  <si>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</si>
  <si>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</si>
  <si>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</si>
  <si>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</si>
  <si>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</si>
  <si>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</si>
  <si>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</si>
  <si>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</si>
  <si>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</si>
  <si>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</si>
  <si>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</si>
  <si>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</si>
  <si>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</si>
  <si>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</si>
  <si>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</si>
  <si>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</si>
  <si>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</si>
  <si>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</si>
  <si>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</si>
  <si>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</si>
  <si>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</si>
  <si>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</si>
  <si>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</si>
  <si>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</si>
  <si>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</si>
  <si>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</si>
  <si>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</si>
  <si>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</si>
  <si>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</si>
  <si>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</si>
  <si>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</si>
  <si>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</si>
  <si>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</si>
  <si>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</si>
  <si>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</si>
  <si>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</si>
  <si>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</si>
  <si>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</si>
  <si>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</si>
  <si>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</si>
  <si>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</si>
  <si>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</si>
  <si>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</si>
  <si>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</si>
  <si>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</si>
  <si>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</si>
  <si>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</si>
  <si>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</si>
  <si>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</si>
  <si>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</si>
  <si>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</si>
  <si>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</si>
  <si>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</si>
  <si>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</si>
  <si>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</si>
  <si>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</si>
  <si>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</si>
  <si>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</si>
  <si>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</si>
  <si>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</si>
  <si>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</si>
  <si>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</si>
  <si>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</si>
  <si>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</si>
  <si>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</si>
  <si>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</si>
  <si>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</si>
  <si>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</si>
  <si>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</si>
  <si>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</si>
  <si>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</si>
  <si>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</si>
  <si>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</si>
  <si>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</si>
  <si>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</si>
  <si>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</si>
  <si>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</si>
  <si>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</si>
  <si>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</si>
  <si>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</si>
  <si>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</si>
  <si>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</si>
  <si>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</si>
  <si>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</si>
  <si>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</si>
  <si>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</si>
  <si>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</si>
  <si>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</si>
  <si>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</si>
  <si>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</si>
  <si>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</si>
  <si>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</si>
  <si>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</si>
  <si>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</si>
  <si>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</si>
  <si>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</si>
  <si>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</si>
  <si>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</si>
  <si>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</si>
  <si>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</si>
  <si>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</si>
  <si>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</si>
  <si>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</si>
  <si>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</si>
  <si>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</si>
  <si>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</si>
  <si>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</si>
  <si>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</si>
  <si>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</si>
  <si>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</si>
  <si>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</si>
  <si>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</si>
  <si>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</si>
  <si>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</si>
  <si>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</si>
  <si>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</si>
  <si>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</si>
  <si>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</si>
  <si>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</si>
  <si>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</si>
  <si>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</si>
  <si>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</si>
  <si>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</si>
  <si>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</si>
  <si>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</si>
  <si>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</si>
  <si>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</si>
  <si>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</si>
  <si>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</si>
  <si>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</si>
  <si>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</si>
  <si>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</si>
  <si>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</si>
  <si>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</si>
  <si>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</si>
  <si>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</si>
  <si>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</si>
  <si>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</si>
  <si>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</si>
  <si>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</si>
  <si>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</si>
  <si>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</si>
  <si>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</si>
  <si>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</si>
  <si>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</si>
  <si>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</si>
  <si>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</si>
  <si>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</si>
  <si>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</si>
  <si>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</si>
  <si>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</si>
  <si>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</si>
  <si>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</si>
  <si>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</si>
  <si>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</si>
  <si>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</si>
  <si>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</si>
  <si>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</si>
  <si>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</si>
  <si>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</si>
  <si>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</si>
  <si>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</si>
  <si>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</si>
  <si>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</si>
  <si>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</si>
  <si>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</si>
  <si>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</si>
  <si>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</si>
  <si>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</si>
  <si>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</si>
  <si>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</si>
  <si>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</si>
  <si>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</si>
  <si>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</si>
  <si>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</si>
  <si>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</si>
  <si>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</si>
  <si>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</si>
  <si>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</si>
  <si>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</si>
  <si>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</si>
  <si>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</si>
  <si>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</si>
  <si>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</si>
  <si>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</si>
  <si>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</si>
  <si>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</si>
  <si>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</si>
  <si>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</si>
  <si>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</si>
  <si>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</si>
  <si>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</si>
  <si>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</si>
  <si>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</si>
  <si>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</si>
  <si>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</si>
  <si>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</si>
  <si>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</si>
  <si>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</si>
  <si>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</si>
  <si>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</si>
  <si>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</si>
  <si>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</si>
  <si>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</si>
  <si>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</si>
  <si>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</si>
  <si>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</si>
  <si>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</si>
  <si>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</si>
  <si>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</si>
  <si>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</si>
  <si>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</si>
  <si>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</si>
  <si>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</si>
  <si>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</si>
  <si>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</si>
  <si>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</si>
  <si>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</si>
  <si>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</si>
  <si>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</si>
  <si>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</si>
  <si>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</si>
  <si>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</si>
  <si>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</si>
  <si>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</si>
  <si>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</si>
  <si>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</si>
  <si>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</si>
  <si>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</si>
  <si>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</si>
  <si>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</si>
  <si>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</si>
  <si>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</si>
  <si>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</si>
  <si>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</si>
  <si>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</si>
  <si>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</si>
  <si>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</si>
  <si>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</si>
  <si>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</si>
  <si>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</si>
  <si>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</si>
  <si>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</si>
  <si>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</si>
  <si>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</si>
  <si>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</si>
  <si>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</si>
  <si>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</si>
  <si>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</si>
  <si>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</si>
  <si>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</si>
  <si>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</si>
  <si>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</si>
  <si>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</si>
  <si>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</si>
  <si>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</si>
  <si>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</si>
  <si>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</si>
  <si>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</si>
  <si>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</si>
  <si>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</si>
  <si>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</si>
  <si>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</si>
  <si>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</si>
  <si>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</si>
  <si>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</si>
  <si>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</si>
  <si>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</si>
  <si>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</si>
  <si>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</si>
  <si>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</si>
  <si>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</si>
  <si>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</si>
  <si>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</si>
  <si>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</si>
  <si>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</si>
  <si>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</si>
  <si>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</si>
  <si>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</si>
  <si>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</si>
  <si>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</si>
  <si>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</si>
  <si>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</si>
  <si>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</si>
  <si>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</si>
  <si>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</si>
  <si>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</si>
  <si>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</si>
  <si>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</si>
  <si>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</si>
  <si>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</si>
  <si>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</si>
  <si>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</si>
  <si>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</si>
  <si>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</si>
  <si>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</si>
  <si>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</si>
  <si>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</si>
  <si>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</si>
  <si>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</si>
  <si>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</si>
  <si>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</si>
  <si>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</si>
  <si>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</si>
  <si>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</si>
  <si>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</si>
  <si>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</si>
  <si>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</si>
  <si>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</si>
  <si>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</si>
  <si>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</si>
  <si>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</si>
  <si>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</si>
  <si>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</si>
  <si>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</si>
  <si>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</si>
  <si>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</si>
  <si>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</si>
  <si>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</si>
  <si>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</si>
  <si>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</si>
  <si>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</si>
  <si>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</si>
  <si>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</si>
  <si>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</si>
  <si>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</si>
  <si>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</si>
  <si>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</si>
  <si>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</si>
  <si>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</si>
  <si>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</si>
  <si>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</si>
  <si>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</si>
  <si>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</si>
  <si>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</si>
  <si>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</si>
  <si>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</si>
  <si>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</si>
  <si>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</si>
  <si>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</si>
  <si>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</si>
  <si>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</si>
  <si>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</si>
  <si>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</si>
  <si>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</si>
  <si>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</si>
  <si>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</si>
  <si>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</si>
  <si>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</si>
  <si>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</si>
  <si>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</si>
  <si>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</si>
  <si>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</si>
  <si>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</si>
  <si>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</si>
  <si>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</si>
  <si>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</si>
  <si>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</si>
  <si>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</si>
  <si>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</si>
  <si>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</si>
  <si>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</si>
  <si>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</si>
  <si>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</si>
  <si>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</si>
  <si>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</si>
  <si>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</si>
  <si>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</si>
  <si>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</si>
  <si>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</si>
  <si>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</si>
  <si>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</si>
  <si>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</si>
  <si>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</si>
  <si>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</si>
  <si>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</si>
  <si>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</si>
  <si>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</si>
  <si>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</si>
  <si>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</si>
  <si>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</si>
  <si>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</si>
  <si>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</si>
  <si>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</si>
  <si>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</si>
  <si>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</si>
  <si>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</si>
  <si>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</si>
  <si>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</si>
  <si>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</si>
  <si>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</si>
  <si>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</si>
  <si>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</si>
  <si>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</si>
  <si>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</si>
  <si>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</si>
  <si>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</si>
  <si>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</si>
  <si>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</si>
  <si>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</si>
  <si>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</si>
  <si>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</si>
  <si>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</si>
  <si>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</si>
  <si>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</si>
  <si>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</si>
  <si>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</si>
  <si>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</si>
  <si>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</si>
  <si>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</si>
  <si>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</si>
  <si>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</si>
  <si>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</si>
  <si>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</si>
  <si>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</si>
  <si>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</si>
  <si>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</si>
  <si>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</si>
  <si>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</si>
  <si>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</si>
  <si>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</si>
  <si>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</si>
  <si>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</si>
  <si>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</si>
  <si>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</si>
  <si>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</si>
  <si>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</si>
  <si>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</si>
  <si>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</si>
  <si>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</si>
  <si>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</si>
  <si>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</si>
  <si>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</si>
  <si>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</si>
  <si>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</si>
  <si>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</si>
  <si>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</si>
  <si>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</si>
  <si>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</si>
  <si>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</si>
  <si>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</si>
  <si>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</si>
  <si>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</si>
  <si>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</si>
  <si>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</si>
  <si>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</si>
  <si>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</si>
  <si>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</si>
  <si>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</si>
  <si>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</si>
  <si>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</si>
  <si>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</si>
  <si>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</si>
  <si>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</si>
  <si>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</si>
  <si>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</si>
  <si>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</si>
  <si>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</si>
  <si>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</si>
  <si>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</si>
  <si>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</si>
  <si>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</si>
  <si>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</si>
  <si>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</si>
  <si>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</si>
  <si>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</si>
  <si>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</si>
  <si>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</si>
  <si>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</si>
  <si>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</si>
  <si>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</si>
  <si>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</si>
  <si>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</si>
  <si>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</si>
  <si>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</si>
  <si>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</si>
  <si>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</si>
  <si>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</si>
  <si>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</si>
  <si>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</si>
  <si>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</si>
  <si>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</si>
  <si>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</si>
  <si>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</si>
  <si>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</si>
  <si>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</si>
  <si>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</si>
  <si>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</si>
  <si>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</si>
  <si>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</si>
  <si>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</si>
  <si>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</si>
  <si>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</si>
  <si>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</si>
  <si>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</si>
  <si>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</si>
  <si>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</si>
  <si>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</si>
  <si>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</si>
  <si>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</si>
  <si>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</si>
  <si>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</si>
  <si>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</si>
  <si>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</si>
  <si>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</si>
  <si>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</si>
  <si>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</si>
  <si>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</si>
  <si>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</si>
  <si>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</si>
  <si>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</si>
  <si>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</si>
  <si>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</si>
  <si>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</si>
  <si>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</si>
  <si>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</si>
  <si>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</si>
  <si>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</si>
  <si>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</si>
  <si>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</si>
  <si>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</si>
  <si>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</si>
  <si>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</si>
  <si>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</si>
  <si>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</si>
  <si>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</si>
  <si>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</si>
  <si>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</si>
  <si>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</si>
  <si>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</si>
  <si>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</si>
  <si>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</si>
  <si>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</si>
  <si>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</si>
  <si>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</si>
  <si>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</si>
  <si>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</si>
  <si>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</si>
  <si>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</si>
  <si>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</si>
  <si>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</si>
  <si>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</si>
  <si>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</si>
  <si>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</si>
  <si>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</si>
  <si>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</si>
  <si>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</si>
  <si>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</si>
  <si>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</si>
  <si>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</si>
  <si>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</si>
  <si>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</si>
  <si>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</si>
  <si>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</si>
  <si>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</si>
  <si>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</si>
  <si>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</si>
  <si>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</si>
  <si>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</si>
  <si>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</si>
  <si>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</si>
  <si>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</si>
  <si>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</si>
  <si>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</si>
  <si>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</si>
  <si>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</si>
  <si>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</si>
  <si>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</si>
  <si>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</si>
  <si>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</si>
  <si>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</si>
  <si>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</si>
  <si>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</si>
  <si>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</si>
  <si>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</si>
  <si>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</si>
  <si>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</si>
  <si>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</si>
  <si>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</si>
  <si>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</si>
  <si>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</si>
  <si>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</si>
  <si>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</si>
  <si>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</si>
  <si>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</si>
  <si>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</si>
  <si>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</si>
  <si>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</si>
  <si>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</si>
  <si>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</si>
  <si>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</si>
  <si>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</si>
  <si>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</si>
  <si>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</si>
  <si>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</si>
  <si>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</si>
  <si>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</si>
  <si>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</si>
  <si>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</si>
  <si>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</si>
  <si>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</si>
  <si>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</si>
  <si>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</si>
  <si>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</si>
  <si>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</si>
  <si>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</si>
  <si>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</si>
  <si>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</si>
  <si>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</si>
  <si>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</si>
  <si>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</si>
  <si>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</si>
  <si>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</si>
  <si>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</si>
  <si>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</si>
  <si>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</si>
  <si>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</si>
  <si>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VIDOURLE</t>
  </si>
  <si>
    <t xml:space="preserve">Liouc</t>
  </si>
  <si>
    <t xml:space="preserve">06178023</t>
  </si>
  <si>
    <t xml:space="preserve">7178c - RCS LR 2014</t>
  </si>
  <si>
    <t xml:space="preserve">radier</t>
  </si>
  <si>
    <t xml:space="preserve">pl. lent</t>
  </si>
  <si>
    <t xml:space="preserve">élevé</t>
  </si>
  <si>
    <t xml:space="preserve">très abondant</t>
  </si>
  <si>
    <t xml:space="preserve">Cf.</t>
  </si>
  <si>
    <t xml:space="preserve">NEWCOD</t>
  </si>
  <si>
    <t xml:space="preserve">Jacobaea erratica</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</si>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</sst>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B13" activeCellId="0" sqref="AB1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41852</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8.62352941176471</v>
      </c>
      <c r="N5" s="364"/>
      <c r="O5" s="365" t="s">
        <v>1762</v>
      </c>
      <c r="P5" s="366" t="n">
        <v>9.17105263157895</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1</v>
      </c>
      <c r="P6" s="378" t="s">
        <v>3637</v>
      </c>
      <c r="Q6" s="379"/>
      <c r="R6" s="321"/>
      <c r="S6" s="321"/>
      <c r="T6" s="321"/>
      <c r="U6" s="321"/>
      <c r="V6" s="321"/>
      <c r="W6" s="335"/>
    </row>
    <row r="7" customFormat="false" ht="12.75" hidden="false" customHeight="false" outlineLevel="0" collapsed="false">
      <c r="A7" s="380" t="s">
        <v>3565</v>
      </c>
      <c r="B7" s="381" t="n">
        <v>10</v>
      </c>
      <c r="C7" s="382" t="n">
        <v>90</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9.3125</v>
      </c>
      <c r="P8" s="396" t="n">
        <f aca="false">IF(ISERROR(AVERAGE(K23:K82)),"  ",AVERAGE(K23:K82))</f>
        <v>1.75</v>
      </c>
      <c r="Q8" s="397"/>
      <c r="R8" s="321"/>
      <c r="S8" s="321"/>
      <c r="T8" s="321"/>
      <c r="U8" s="321"/>
      <c r="V8" s="321"/>
      <c r="W8" s="335"/>
    </row>
    <row r="9" customFormat="false" ht="12.75" hidden="false" customHeight="false" outlineLevel="0" collapsed="false">
      <c r="A9" s="354" t="s">
        <v>3571</v>
      </c>
      <c r="B9" s="398" t="n">
        <v>65.25</v>
      </c>
      <c r="C9" s="399" t="n">
        <v>7.7</v>
      </c>
      <c r="D9" s="400"/>
      <c r="E9" s="400"/>
      <c r="F9" s="401" t="n">
        <f aca="false">($B9*$B$7+$C9*$C$7)/100</f>
        <v>13.455</v>
      </c>
      <c r="G9" s="402"/>
      <c r="H9" s="357"/>
      <c r="I9" s="321"/>
      <c r="J9" s="403"/>
      <c r="K9" s="404"/>
      <c r="L9" s="387"/>
      <c r="M9" s="405"/>
      <c r="N9" s="395" t="s">
        <v>3572</v>
      </c>
      <c r="O9" s="396" t="n">
        <f aca="false">IF(ISERROR(STDEVP(J23:J82))," ",STDEVP(J23:J82))</f>
        <v>2.70921460021166</v>
      </c>
      <c r="P9" s="396" t="n">
        <f aca="false">IF(ISERROR(STDEVP(K23:K82)),"  ",STDEVP(K23:K82))</f>
        <v>0.612372435695795</v>
      </c>
      <c r="Q9" s="397"/>
      <c r="R9" s="321"/>
      <c r="S9" s="321"/>
      <c r="T9" s="321"/>
      <c r="U9" s="321"/>
      <c r="V9" s="321"/>
      <c r="W9" s="335"/>
    </row>
    <row r="10" customFormat="false" ht="12.75" hidden="false" customHeight="false" outlineLevel="0" collapsed="false">
      <c r="A10" s="354" t="s">
        <v>3573</v>
      </c>
      <c r="B10" s="406" t="s">
        <v>3638</v>
      </c>
      <c r="C10" s="407" t="s">
        <v>3638</v>
      </c>
      <c r="D10" s="400"/>
      <c r="E10" s="400"/>
      <c r="F10" s="401"/>
      <c r="G10" s="402"/>
      <c r="H10" s="370"/>
      <c r="I10" s="321"/>
      <c r="J10" s="408"/>
      <c r="K10" s="409" t="s">
        <v>3574</v>
      </c>
      <c r="L10" s="410"/>
      <c r="M10" s="411"/>
      <c r="N10" s="395" t="s">
        <v>3575</v>
      </c>
      <c r="O10" s="412" t="n">
        <f aca="false">MIN(J23:J82)</f>
        <v>4</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14</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11</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5</v>
      </c>
      <c r="M13" s="421"/>
      <c r="N13" s="429" t="s">
        <v>3583</v>
      </c>
      <c r="O13" s="430" t="n">
        <f aca="false">COUNTIF(F23:F82,"&gt;0")</f>
        <v>43</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32</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25</v>
      </c>
      <c r="M15" s="421"/>
      <c r="N15" s="429" t="s">
        <v>3589</v>
      </c>
      <c r="O15" s="430" t="n">
        <f aca="false">COUNTIF(K23:K82,"=1")</f>
        <v>11</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18</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0.767441860465116</v>
      </c>
      <c r="N17" s="429" t="s">
        <v>3594</v>
      </c>
      <c r="O17" s="430" t="n">
        <f aca="false">COUNTIF(K23:K82,"=3")</f>
        <v>3</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65.25</v>
      </c>
      <c r="C20" s="473" t="n">
        <f aca="false">SUM(C23:C62)</f>
        <v>7.68</v>
      </c>
      <c r="D20" s="474"/>
      <c r="E20" s="475" t="s">
        <v>3596</v>
      </c>
      <c r="F20" s="476" t="n">
        <f aca="false">($B20*$B$7+$C20*$C$7)/100</f>
        <v>13.437</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6.525</v>
      </c>
      <c r="C21" s="484" t="n">
        <f aca="false">C20*C7/100</f>
        <v>6.912</v>
      </c>
      <c r="D21" s="485" t="s">
        <v>3599</v>
      </c>
      <c r="E21" s="486"/>
      <c r="F21" s="487" t="n">
        <f aca="false">B21+C21</f>
        <v>13.437</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130</v>
      </c>
      <c r="B23" s="513"/>
      <c r="C23" s="514" t="n">
        <v>0.1</v>
      </c>
      <c r="D23" s="515" t="str">
        <f aca="false">IF(ISERROR(VLOOKUP($A23,'liste reference'!$A$6:$B$1245,2,0)),IF(ISERROR(VLOOKUP($A23,'liste reference'!$B$6:$B$1245,1,0)),"",VLOOKUP($A23,'liste reference'!$B$6:$B$1245,1,0)),VLOOKUP($A23,'liste reference'!$A$6:$B$1245,2,0))</f>
        <v>Chara vulgaris</v>
      </c>
      <c r="E23" s="516" t="e">
        <f aca="false">IF(D23="",0,VLOOKUP(D23,D$22:D22,1,0))</f>
        <v>#N/A</v>
      </c>
      <c r="F23" s="517" t="n">
        <f aca="false">IF(AND(OR(A23="",A23="!!!!!!"),B23="",C23=""),"",IF(OR(AND(B23="",C23=""),ISERROR(C23+B23)),"!!!",($B23*$B$7+$C23*$C$7)/100))</f>
        <v>0.09</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1</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Chara vulgaris</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5261</v>
      </c>
      <c r="R23" s="525" t="n">
        <f aca="false">IF(ISTEXT(H23),"",(B23*$B$7/100)+(C23*$C$7/100))</f>
        <v>0.09</v>
      </c>
      <c r="S23" s="526" t="n">
        <f aca="false">IF(OR(ISTEXT(H23),R23=0),"",IF(R23&lt;0.1,1,IF(R23&lt;1,2,IF(R23&lt;10,3,IF(R23&lt;50,4,IF(R23&gt;=50,5,""))))))</f>
        <v>1</v>
      </c>
      <c r="T23" s="526" t="n">
        <f aca="false">IF(ISERROR(S23*J23),0,S23*J23)</f>
        <v>13</v>
      </c>
      <c r="U23" s="526" t="n">
        <f aca="false">IF(ISERROR(S23*J23*K23),0,S23*J23*K23)</f>
        <v>13</v>
      </c>
      <c r="V23" s="526" t="n">
        <f aca="false">IF(ISERROR(S23*K23),0,S23*K23)</f>
        <v>1</v>
      </c>
      <c r="W23" s="527"/>
      <c r="X23" s="528"/>
      <c r="Y23" s="529" t="str">
        <f aca="false">IF(AND(ISNUMBER(F23),OR(A23="",A23="!!!!!!")),"!!!!!!",IF(A23="new.cod","NEWCOD",IF(AND((Z23=""),ISTEXT(A23),A23&lt;&gt;"!!!!!!"),A23,IF(Z23="","",INDEX('liste reference'!$A$6:$A$1245,Z23)))))</f>
        <v>CHAVUL</v>
      </c>
      <c r="Z23" s="511" t="n">
        <f aca="false">IF(ISERROR(MATCH(A23,'liste reference'!$A$6:$A$1245,0)),IF(ISERROR(MATCH(A23,'liste reference'!$B$6:$B$1245,0)),"",(MATCH(A23,'liste reference'!$B$6:$B$1245,0))),(MATCH(A23,'liste reference'!$A$6:$A$1245,0)))</f>
        <v>33</v>
      </c>
    </row>
    <row r="24" customFormat="false" ht="12.75" hidden="false" customHeight="false" outlineLevel="0" collapsed="false">
      <c r="A24" s="530" t="s">
        <v>137</v>
      </c>
      <c r="B24" s="531" t="n">
        <v>26</v>
      </c>
      <c r="C24" s="532" t="n">
        <v>0.2</v>
      </c>
      <c r="D24" s="533" t="str">
        <f aca="false">IF(ISERROR(VLOOKUP($A24,'liste reference'!$A$6:$B$1245,2,0)),IF(ISERROR(VLOOKUP($A24,'liste reference'!$B$6:$B$1245,1,0)),"",VLOOKUP($A24,'liste reference'!$B$6:$B$1245,1,0)),VLOOKUP($A24,'liste reference'!$A$6:$B$1245,2,0))</f>
        <v>Cladophora sp.</v>
      </c>
      <c r="E24" s="534" t="e">
        <f aca="false">IF(D24="",0,VLOOKUP(D24,D$22:D23,1,0))</f>
        <v>#N/A</v>
      </c>
      <c r="F24" s="535" t="n">
        <f aca="false">IF(AND(OR(A24="",A24="!!!!!!"),B24="",C24=""),"",IF(OR(AND(B24="",C24=""),ISERROR(C24+B24)),"!!!",($B24*$B$7+$C24*$C$7)/100))</f>
        <v>2.78</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6</v>
      </c>
      <c r="K24" s="538" t="n">
        <f aca="false">IF(ISNUMBER($H24),IF(ISERROR(VLOOKUP($A24,'liste reference'!$A$6:$Q$1245,7,0)),IF(ISERROR(VLOOKUP($A24,'liste reference'!$B$6:$Q$1245,6,0)),"nu",VLOOKUP($A24,'liste reference'!$B$6:$Q$1245,6,0)),VLOOKUP($A24,'liste reference'!$A$6:$Q$1245,7,0)),"nu")</f>
        <v>1</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Cladophora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1124</v>
      </c>
      <c r="R24" s="525" t="n">
        <f aca="false">IF(ISTEXT(H24),"",(B24*$B$7/100)+(C24*$C$7/100))</f>
        <v>2.78</v>
      </c>
      <c r="S24" s="526" t="n">
        <f aca="false">IF(OR(ISTEXT(H24),R24=0),"",IF(R24&lt;0.1,1,IF(R24&lt;1,2,IF(R24&lt;10,3,IF(R24&lt;50,4,IF(R24&gt;=50,5,""))))))</f>
        <v>3</v>
      </c>
      <c r="T24" s="526" t="n">
        <f aca="false">IF(ISERROR(S24*J24),0,S24*J24)</f>
        <v>18</v>
      </c>
      <c r="U24" s="526" t="n">
        <f aca="false">IF(ISERROR(S24*J24*K24),0,S24*J24*K24)</f>
        <v>18</v>
      </c>
      <c r="V24" s="542" t="n">
        <f aca="false">IF(ISERROR(S24*K24),0,S24*K24)</f>
        <v>3</v>
      </c>
      <c r="W24" s="543"/>
      <c r="X24" s="544"/>
      <c r="Y24" s="529" t="str">
        <f aca="false">IF(AND(ISNUMBER(F24),OR(A24="",A24="!!!!!!")),"!!!!!!",IF(A24="new.cod","NEWCOD",IF(AND((Z24=""),ISTEXT(A24),A24&lt;&gt;"!!!!!!"),A24,IF(Z24="","",INDEX('liste reference'!$A$6:$A$1245,Z24)))))</f>
        <v>CLASPX</v>
      </c>
      <c r="Z24" s="511" t="n">
        <f aca="false">IF(ISERROR(MATCH(A24,'liste reference'!$A$6:$A$1245,0)),IF(ISERROR(MATCH(A24,'liste reference'!$B$6:$B$1245,0)),"",(MATCH(A24,'liste reference'!$B$6:$B$1245,0))),(MATCH(A24,'liste reference'!$A$6:$A$1245,0)))</f>
        <v>36</v>
      </c>
    </row>
    <row r="25" customFormat="false" ht="12.75" hidden="false" customHeight="false" outlineLevel="0" collapsed="false">
      <c r="A25" s="530" t="s">
        <v>154</v>
      </c>
      <c r="B25" s="531" t="n">
        <v>0.25</v>
      </c>
      <c r="C25" s="532"/>
      <c r="D25" s="533" t="str">
        <f aca="false">IF(ISERROR(VLOOKUP($A25,'liste reference'!$A$6:$B$1245,2,0)),IF(ISERROR(VLOOKUP($A25,'liste reference'!$B$6:$B$1245,1,0)),"",VLOOKUP($A25,'liste reference'!$B$6:$B$1245,1,0)),VLOOKUP($A25,'liste reference'!$A$6:$B$1245,2,0))</f>
        <v>Diatoma sp.</v>
      </c>
      <c r="E25" s="534" t="e">
        <f aca="false">IF(D25="",0,VLOOKUP(D25,D$22:D24,1,0))</f>
        <v>#N/A</v>
      </c>
      <c r="F25" s="535" t="n">
        <f aca="false">IF(AND(OR(A25="",A25="!!!!!!"),B25="",C25=""),"",IF(OR(AND(B25="",C25=""),ISERROR(C25+B25)),"!!!",($B25*$B$7+$C25*$C$7)/100))</f>
        <v>0.025</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n">
        <f aca="false">IF(ISNUMBER($H25),IF(ISERROR(VLOOKUP($A25,'liste reference'!$A$6:$Q$1245,6,0)),IF(ISERROR(VLOOKUP($A25,'liste reference'!$B$6:$Q$1245,5,0)),"nu",VLOOKUP($A25,'liste reference'!$B$6:$Q$1245,5,0)),VLOOKUP($A25,'liste reference'!$A$6:$Q$1245,6,0)),"nu")</f>
        <v>12</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Diatoma sp.</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6627</v>
      </c>
      <c r="R25" s="525" t="n">
        <f aca="false">IF(ISTEXT(H25),"",(B25*$B$7/100)+(C25*$C$7/100))</f>
        <v>0.025</v>
      </c>
      <c r="S25" s="526" t="n">
        <f aca="false">IF(OR(ISTEXT(H25),R25=0),"",IF(R25&lt;0.1,1,IF(R25&lt;1,2,IF(R25&lt;10,3,IF(R25&lt;50,4,IF(R25&gt;=50,5,""))))))</f>
        <v>1</v>
      </c>
      <c r="T25" s="526" t="n">
        <f aca="false">IF(ISERROR(S25*J25),0,S25*J25)</f>
        <v>12</v>
      </c>
      <c r="U25" s="526" t="n">
        <f aca="false">IF(ISERROR(S25*J25*K25),0,S25*J25*K25)</f>
        <v>24</v>
      </c>
      <c r="V25" s="542" t="n">
        <f aca="false">IF(ISERROR(S25*K25),0,S25*K25)</f>
        <v>2</v>
      </c>
      <c r="W25" s="543"/>
      <c r="X25" s="544"/>
      <c r="Y25" s="529" t="str">
        <f aca="false">IF(AND(ISNUMBER(F25),OR(A25="",A25="!!!!!!")),"!!!!!!",IF(A25="new.cod","NEWCOD",IF(AND((Z25=""),ISTEXT(A25),A25&lt;&gt;"!!!!!!"),A25,IF(Z25="","",INDEX('liste reference'!$A$6:$A$1245,Z25)))))</f>
        <v>DIASPX</v>
      </c>
      <c r="Z25" s="511" t="n">
        <f aca="false">IF(ISERROR(MATCH(A25,'liste reference'!$A$6:$A$1245,0)),IF(ISERROR(MATCH(A25,'liste reference'!$B$6:$B$1245,0)),"",(MATCH(A25,'liste reference'!$B$6:$B$1245,0))),(MATCH(A25,'liste reference'!$A$6:$A$1245,0)))</f>
        <v>41</v>
      </c>
    </row>
    <row r="26" customFormat="false" ht="12.75" hidden="false" customHeight="false" outlineLevel="0" collapsed="false">
      <c r="A26" s="530" t="s">
        <v>249</v>
      </c>
      <c r="B26" s="531" t="n">
        <v>0.2</v>
      </c>
      <c r="C26" s="532" t="n">
        <v>0.3</v>
      </c>
      <c r="D26" s="533" t="str">
        <f aca="false">IF(ISERROR(VLOOKUP($A26,'liste reference'!$A$6:$B$1245,2,0)),IF(ISERROR(VLOOKUP($A26,'liste reference'!$B$6:$B$1245,1,0)),"",VLOOKUP($A26,'liste reference'!$B$6:$B$1245,1,0)),VLOOKUP($A26,'liste reference'!$A$6:$B$1245,2,0))</f>
        <v>Melosira sp.</v>
      </c>
      <c r="E26" s="534" t="e">
        <f aca="false">IF(D26="",0,VLOOKUP(D26,D$22:D25,1,0))</f>
        <v>#N/A</v>
      </c>
      <c r="F26" s="535" t="n">
        <f aca="false">IF(AND(OR(A26="",A26="!!!!!!"),B26="",C26=""),"",IF(OR(AND(B26="",C26=""),ISERROR(C26+B26)),"!!!",($B26*$B$7+$C26*$C$7)/100))</f>
        <v>0.29</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10</v>
      </c>
      <c r="K26" s="538" t="n">
        <f aca="false">IF(ISNUMBER($H26),IF(ISERROR(VLOOKUP($A26,'liste reference'!$A$6:$Q$1245,7,0)),IF(ISERROR(VLOOKUP($A26,'liste reference'!$B$6:$Q$1245,6,0)),"nu",VLOOKUP($A26,'liste reference'!$B$6:$Q$1245,6,0)),VLOOKUP($A26,'liste reference'!$A$6:$Q$1245,7,0)),"nu")</f>
        <v>1</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Melosira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8714</v>
      </c>
      <c r="R26" s="525" t="n">
        <f aca="false">IF(ISTEXT(H26),"",(B26*$B$7/100)+(C26*$C$7/100))</f>
        <v>0.29</v>
      </c>
      <c r="S26" s="526" t="n">
        <f aca="false">IF(OR(ISTEXT(H26),R26=0),"",IF(R26&lt;0.1,1,IF(R26&lt;1,2,IF(R26&lt;10,3,IF(R26&lt;50,4,IF(R26&gt;=50,5,""))))))</f>
        <v>2</v>
      </c>
      <c r="T26" s="526" t="n">
        <f aca="false">IF(ISERROR(S26*J26),0,S26*J26)</f>
        <v>20</v>
      </c>
      <c r="U26" s="526" t="n">
        <f aca="false">IF(ISERROR(S26*J26*K26),0,S26*J26*K26)</f>
        <v>20</v>
      </c>
      <c r="V26" s="542" t="n">
        <f aca="false">IF(ISERROR(S26*K26),0,S26*K26)</f>
        <v>2</v>
      </c>
      <c r="W26" s="543"/>
      <c r="X26" s="544"/>
      <c r="Y26" s="529" t="str">
        <f aca="false">IF(AND(ISNUMBER(F26),OR(A26="",A26="!!!!!!")),"!!!!!!",IF(A26="new.cod","NEWCOD",IF(AND((Z26=""),ISTEXT(A26),A26&lt;&gt;"!!!!!!"),A26,IF(Z26="","",INDEX('liste reference'!$A$6:$A$1245,Z26)))))</f>
        <v>MELSPX</v>
      </c>
      <c r="Z26" s="511" t="n">
        <f aca="false">IF(ISERROR(MATCH(A26,'liste reference'!$A$6:$A$1245,0)),IF(ISERROR(MATCH(A26,'liste reference'!$B$6:$B$1245,0)),"",(MATCH(A26,'liste reference'!$B$6:$B$1245,0))),(MATCH(A26,'liste reference'!$A$6:$A$1245,0)))</f>
        <v>72</v>
      </c>
    </row>
    <row r="27" customFormat="false" ht="12.75" hidden="false" customHeight="false" outlineLevel="0" collapsed="false">
      <c r="A27" s="530" t="s">
        <v>265</v>
      </c>
      <c r="B27" s="531"/>
      <c r="C27" s="532" t="n">
        <v>0.01</v>
      </c>
      <c r="D27" s="533" t="str">
        <f aca="false">IF(ISERROR(VLOOKUP($A27,'liste reference'!$A$6:$B$1245,2,0)),IF(ISERROR(VLOOKUP($A27,'liste reference'!$B$6:$B$1245,1,0)),"",VLOOKUP($A27,'liste reference'!$B$6:$B$1245,1,0)),VLOOKUP($A27,'liste reference'!$A$6:$B$1245,2,0))</f>
        <v>Microspora sp.</v>
      </c>
      <c r="E27" s="534" t="e">
        <f aca="false">IF(D27="",0,VLOOKUP(D27,D$22:D26,1,0))</f>
        <v>#N/A</v>
      </c>
      <c r="F27" s="535" t="n">
        <f aca="false">IF(AND(OR(A27="",A27="!!!!!!"),B27="",C27=""),"",IF(OR(AND(B27="",C27=""),ISERROR(C27+B27)),"!!!",($B27*$B$7+$C27*$C$7)/100))</f>
        <v>0.009</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12</v>
      </c>
      <c r="K27" s="538" t="n">
        <f aca="false">IF(ISNUMBER($H27),IF(ISERROR(VLOOKUP($A27,'liste reference'!$A$6:$Q$1245,7,0)),IF(ISERROR(VLOOKUP($A27,'liste reference'!$B$6:$Q$1245,6,0)),"nu",VLOOKUP($A27,'liste reference'!$B$6:$Q$1245,6,0)),VLOOKUP($A27,'liste reference'!$A$6:$Q$1245,7,0)),"nu")</f>
        <v>2</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Microspora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1132</v>
      </c>
      <c r="R27" s="525" t="n">
        <f aca="false">IF(ISTEXT(H27),"",(B27*$B$7/100)+(C27*$C$7/100))</f>
        <v>0.009</v>
      </c>
      <c r="S27" s="526" t="n">
        <f aca="false">IF(OR(ISTEXT(H27),R27=0),"",IF(R27&lt;0.1,1,IF(R27&lt;1,2,IF(R27&lt;10,3,IF(R27&lt;50,4,IF(R27&gt;=50,5,""))))))</f>
        <v>1</v>
      </c>
      <c r="T27" s="526" t="n">
        <f aca="false">IF(ISERROR(S27*J27),0,S27*J27)</f>
        <v>12</v>
      </c>
      <c r="U27" s="526" t="n">
        <f aca="false">IF(ISERROR(S27*J27*K27),0,S27*J27*K27)</f>
        <v>24</v>
      </c>
      <c r="V27" s="542" t="n">
        <f aca="false">IF(ISERROR(S27*K27),0,S27*K27)</f>
        <v>2</v>
      </c>
      <c r="W27" s="543"/>
      <c r="X27" s="544"/>
      <c r="Y27" s="529" t="str">
        <f aca="false">IF(AND(ISNUMBER(F27),OR(A27="",A27="!!!!!!")),"!!!!!!",IF(A27="new.cod","NEWCOD",IF(AND((Z27=""),ISTEXT(A27),A27&lt;&gt;"!!!!!!"),A27,IF(Z27="","",INDEX('liste reference'!$A$6:$A$1245,Z27)))))</f>
        <v>MICSPX</v>
      </c>
      <c r="Z27" s="511" t="n">
        <f aca="false">IF(ISERROR(MATCH(A27,'liste reference'!$A$6:$A$1245,0)),IF(ISERROR(MATCH(A27,'liste reference'!$B$6:$B$1245,0)),"",(MATCH(A27,'liste reference'!$B$6:$B$1245,0))),(MATCH(A27,'liste reference'!$A$6:$A$1245,0)))</f>
        <v>78</v>
      </c>
    </row>
    <row r="28" customFormat="false" ht="12.75" hidden="false" customHeight="false" outlineLevel="0" collapsed="false">
      <c r="A28" s="530" t="s">
        <v>270</v>
      </c>
      <c r="B28" s="531"/>
      <c r="C28" s="532" t="n">
        <v>0.005</v>
      </c>
      <c r="D28" s="533" t="str">
        <f aca="false">IF(ISERROR(VLOOKUP($A28,'liste reference'!$A$6:$B$1245,2,0)),IF(ISERROR(VLOOKUP($A28,'liste reference'!$B$6:$B$1245,1,0)),"",VLOOKUP($A28,'liste reference'!$B$6:$B$1245,1,0)),VLOOKUP($A28,'liste reference'!$A$6:$B$1245,2,0))</f>
        <v>Mougeotia sp.</v>
      </c>
      <c r="E28" s="534" t="e">
        <f aca="false">IF(D28="",0,VLOOKUP(D28,D$22:D27,1,0))</f>
        <v>#N/A</v>
      </c>
      <c r="F28" s="535" t="n">
        <f aca="false">IF(AND(OR(A28="",A28="!!!!!!"),B28="",C28=""),"",IF(OR(AND(B28="",C28=""),ISERROR(C28+B28)),"!!!",($B28*$B$7+$C28*$C$7)/100))</f>
        <v>0.0045</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13</v>
      </c>
      <c r="K28" s="538" t="n">
        <f aca="false">IF(ISNUMBER($H28),IF(ISERROR(VLOOKUP($A28,'liste reference'!$A$6:$Q$1245,7,0)),IF(ISERROR(VLOOKUP($A28,'liste reference'!$B$6:$Q$1245,6,0)),"nu",VLOOKUP($A28,'liste reference'!$B$6:$Q$1245,6,0)),VLOOKUP($A28,'liste reference'!$A$6:$Q$1245,7,0)),"nu")</f>
        <v>2</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Mougeotia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1146</v>
      </c>
      <c r="R28" s="525" t="n">
        <f aca="false">IF(ISTEXT(H28),"",(B28*$B$7/100)+(C28*$C$7/100))</f>
        <v>0.0045</v>
      </c>
      <c r="S28" s="526" t="n">
        <f aca="false">IF(OR(ISTEXT(H28),R28=0),"",IF(R28&lt;0.1,1,IF(R28&lt;1,2,IF(R28&lt;10,3,IF(R28&lt;50,4,IF(R28&gt;=50,5,""))))))</f>
        <v>1</v>
      </c>
      <c r="T28" s="526" t="n">
        <f aca="false">IF(ISERROR(S28*J28),0,S28*J28)</f>
        <v>13</v>
      </c>
      <c r="U28" s="526" t="n">
        <f aca="false">IF(ISERROR(S28*J28*K28),0,S28*J28*K28)</f>
        <v>26</v>
      </c>
      <c r="V28" s="542" t="n">
        <f aca="false">IF(ISERROR(S28*K28),0,S28*K28)</f>
        <v>2</v>
      </c>
      <c r="W28" s="543"/>
      <c r="X28" s="544"/>
      <c r="Y28" s="529" t="str">
        <f aca="false">IF(AND(ISNUMBER(F28),OR(A28="",A28="!!!!!!")),"!!!!!!",IF(A28="new.cod","NEWCOD",IF(AND((Z28=""),ISTEXT(A28),A28&lt;&gt;"!!!!!!"),A28,IF(Z28="","",INDEX('liste reference'!$A$6:$A$1245,Z28)))))</f>
        <v>MOUSPX</v>
      </c>
      <c r="Z28" s="511" t="n">
        <f aca="false">IF(ISERROR(MATCH(A28,'liste reference'!$A$6:$A$1245,0)),IF(ISERROR(MATCH(A28,'liste reference'!$B$6:$B$1245,0)),"",(MATCH(A28,'liste reference'!$B$6:$B$1245,0))),(MATCH(A28,'liste reference'!$A$6:$A$1245,0)))</f>
        <v>80</v>
      </c>
    </row>
    <row r="29" customFormat="false" ht="12.75" hidden="false" customHeight="false" outlineLevel="0" collapsed="false">
      <c r="A29" s="530" t="s">
        <v>330</v>
      </c>
      <c r="B29" s="531" t="n">
        <v>0.2</v>
      </c>
      <c r="C29" s="532" t="n">
        <v>1.25</v>
      </c>
      <c r="D29" s="533" t="str">
        <f aca="false">IF(ISERROR(VLOOKUP($A29,'liste reference'!$A$6:$B$1245,2,0)),IF(ISERROR(VLOOKUP($A29,'liste reference'!$B$6:$B$1245,1,0)),"",VLOOKUP($A29,'liste reference'!$B$6:$B$1245,1,0)),VLOOKUP($A29,'liste reference'!$A$6:$B$1245,2,0))</f>
        <v>Oedogonium sp.</v>
      </c>
      <c r="E29" s="534" t="e">
        <f aca="false">IF(D29="",0,VLOOKUP(D29,D$22:D28,1,0))</f>
        <v>#N/A</v>
      </c>
      <c r="F29" s="535" t="n">
        <f aca="false">IF(AND(OR(A29="",A29="!!!!!!"),B29="",C29=""),"",IF(OR(AND(B29="",C29=""),ISERROR(C29+B29)),"!!!",($B29*$B$7+$C29*$C$7)/100))</f>
        <v>1.145</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6</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Oedogonium sp.</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1134</v>
      </c>
      <c r="R29" s="525" t="n">
        <f aca="false">IF(ISTEXT(H29),"",(B29*$B$7/100)+(C29*$C$7/100))</f>
        <v>1.145</v>
      </c>
      <c r="S29" s="526" t="n">
        <f aca="false">IF(OR(ISTEXT(H29),R29=0),"",IF(R29&lt;0.1,1,IF(R29&lt;1,2,IF(R29&lt;10,3,IF(R29&lt;50,4,IF(R29&gt;=50,5,""))))))</f>
        <v>3</v>
      </c>
      <c r="T29" s="526" t="n">
        <f aca="false">IF(ISERROR(S29*J29),0,S29*J29)</f>
        <v>18</v>
      </c>
      <c r="U29" s="526" t="n">
        <f aca="false">IF(ISERROR(S29*J29*K29),0,S29*J29*K29)</f>
        <v>36</v>
      </c>
      <c r="V29" s="542" t="n">
        <f aca="false">IF(ISERROR(S29*K29),0,S29*K29)</f>
        <v>6</v>
      </c>
      <c r="W29" s="543"/>
      <c r="X29" s="544"/>
      <c r="Y29" s="529" t="str">
        <f aca="false">IF(AND(ISNUMBER(F29),OR(A29="",A29="!!!!!!")),"!!!!!!",IF(A29="new.cod","NEWCOD",IF(AND((Z29=""),ISTEXT(A29),A29&lt;&gt;"!!!!!!"),A29,IF(Z29="","",INDEX('liste reference'!$A$6:$A$1245,Z29)))))</f>
        <v>OEDSPX</v>
      </c>
      <c r="Z29" s="511" t="n">
        <f aca="false">IF(ISERROR(MATCH(A29,'liste reference'!$A$6:$A$1245,0)),IF(ISERROR(MATCH(A29,'liste reference'!$B$6:$B$1245,0)),"",(MATCH(A29,'liste reference'!$B$6:$B$1245,0))),(MATCH(A29,'liste reference'!$A$6:$A$1245,0)))</f>
        <v>100</v>
      </c>
    </row>
    <row r="30" customFormat="false" ht="12.75" hidden="false" customHeight="false" outlineLevel="0" collapsed="false">
      <c r="A30" s="530" t="s">
        <v>333</v>
      </c>
      <c r="B30" s="531"/>
      <c r="C30" s="532" t="n">
        <v>0.1</v>
      </c>
      <c r="D30" s="533" t="str">
        <f aca="false">IF(ISERROR(VLOOKUP($A30,'liste reference'!$A$6:$B$1245,2,0)),IF(ISERROR(VLOOKUP($A30,'liste reference'!$B$6:$B$1245,1,0)),"",VLOOKUP($A30,'liste reference'!$B$6:$B$1245,1,0)),VLOOKUP($A30,'liste reference'!$A$6:$B$1245,2,0))</f>
        <v>Oscillatoria sp.</v>
      </c>
      <c r="E30" s="534" t="e">
        <f aca="false">IF(D30="",0,VLOOKUP(D30,D$22:D29,1,0))</f>
        <v>#N/A</v>
      </c>
      <c r="F30" s="535" t="n">
        <f aca="false">IF(AND(OR(A30="",A30="!!!!!!"),B30="",C30=""),"",IF(OR(AND(B30="",C30=""),ISERROR(C30+B30)),"!!!",($B30*$B$7+$C30*$C$7)/100))</f>
        <v>0.09</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n">
        <f aca="false">IF(ISNUMBER($H30),IF(ISERROR(VLOOKUP($A30,'liste reference'!$A$6:$Q$1245,6,0)),IF(ISERROR(VLOOKUP($A30,'liste reference'!$B$6:$Q$1245,5,0)),"nu",VLOOKUP($A30,'liste reference'!$B$6:$Q$1245,5,0)),VLOOKUP($A30,'liste reference'!$A$6:$Q$1245,6,0)),"nu")</f>
        <v>11</v>
      </c>
      <c r="K30" s="538" t="n">
        <f aca="false">IF(ISNUMBER($H30),IF(ISERROR(VLOOKUP($A30,'liste reference'!$A$6:$Q$1245,7,0)),IF(ISERROR(VLOOKUP($A30,'liste reference'!$B$6:$Q$1245,6,0)),"nu",VLOOKUP($A30,'liste reference'!$B$6:$Q$1245,6,0)),VLOOKUP($A30,'liste reference'!$A$6:$Q$1245,7,0)),"nu")</f>
        <v>1</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Oscillatoria sp.</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1108</v>
      </c>
      <c r="R30" s="525" t="n">
        <f aca="false">IF(ISTEXT(H30),"",(B30*$B$7/100)+(C30*$C$7/100))</f>
        <v>0.09</v>
      </c>
      <c r="S30" s="526" t="n">
        <f aca="false">IF(OR(ISTEXT(H30),R30=0),"",IF(R30&lt;0.1,1,IF(R30&lt;1,2,IF(R30&lt;10,3,IF(R30&lt;50,4,IF(R30&gt;=50,5,""))))))</f>
        <v>1</v>
      </c>
      <c r="T30" s="526" t="n">
        <f aca="false">IF(ISERROR(S30*J30),0,S30*J30)</f>
        <v>11</v>
      </c>
      <c r="U30" s="526" t="n">
        <f aca="false">IF(ISERROR(S30*J30*K30),0,S30*J30*K30)</f>
        <v>11</v>
      </c>
      <c r="V30" s="542" t="n">
        <f aca="false">IF(ISERROR(S30*K30),0,S30*K30)</f>
        <v>1</v>
      </c>
      <c r="W30" s="543"/>
      <c r="X30" s="544"/>
      <c r="Y30" s="529" t="str">
        <f aca="false">IF(AND(ISNUMBER(F30),OR(A30="",A30="!!!!!!")),"!!!!!!",IF(A30="new.cod","NEWCOD",IF(AND((Z30=""),ISTEXT(A30),A30&lt;&gt;"!!!!!!"),A30,IF(Z30="","",INDEX('liste reference'!$A$6:$A$1245,Z30)))))</f>
        <v>OSCSPX</v>
      </c>
      <c r="Z30" s="511" t="n">
        <f aca="false">IF(ISERROR(MATCH(A30,'liste reference'!$A$6:$A$1245,0)),IF(ISERROR(MATCH(A30,'liste reference'!$B$6:$B$1245,0)),"",(MATCH(A30,'liste reference'!$B$6:$B$1245,0))),(MATCH(A30,'liste reference'!$A$6:$A$1245,0)))</f>
        <v>101</v>
      </c>
    </row>
    <row r="31" customFormat="false" ht="12.75" hidden="false" customHeight="false" outlineLevel="0" collapsed="false">
      <c r="A31" s="530" t="s">
        <v>376</v>
      </c>
      <c r="B31" s="531" t="n">
        <v>3.8</v>
      </c>
      <c r="C31" s="532" t="n">
        <v>1</v>
      </c>
      <c r="D31" s="533" t="str">
        <f aca="false">IF(ISERROR(VLOOKUP($A31,'liste reference'!$A$6:$B$1245,2,0)),IF(ISERROR(VLOOKUP($A31,'liste reference'!$B$6:$B$1245,1,0)),"",VLOOKUP($A31,'liste reference'!$B$6:$B$1245,1,0)),VLOOKUP($A31,'liste reference'!$A$6:$B$1245,2,0))</f>
        <v>Spirogyra sp.</v>
      </c>
      <c r="E31" s="534" t="e">
        <f aca="false">IF(D31="",0,VLOOKUP(D31,D$22:D30,1,0))</f>
        <v>#N/A</v>
      </c>
      <c r="F31" s="535" t="n">
        <f aca="false">IF(AND(OR(A31="",A31="!!!!!!"),B31="",C31=""),"",IF(OR(AND(B31="",C31=""),ISERROR(C31+B31)),"!!!",($B31*$B$7+$C31*$C$7)/100))</f>
        <v>1.28</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10</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Spirogyra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1147</v>
      </c>
      <c r="R31" s="525" t="n">
        <f aca="false">IF(ISTEXT(H31),"",(B31*$B$7/100)+(C31*$C$7/100))</f>
        <v>1.28</v>
      </c>
      <c r="S31" s="526" t="n">
        <f aca="false">IF(OR(ISTEXT(H31),R31=0),"",IF(R31&lt;0.1,1,IF(R31&lt;1,2,IF(R31&lt;10,3,IF(R31&lt;50,4,IF(R31&gt;=50,5,""))))))</f>
        <v>3</v>
      </c>
      <c r="T31" s="526" t="n">
        <f aca="false">IF(ISERROR(S31*J31),0,S31*J31)</f>
        <v>30</v>
      </c>
      <c r="U31" s="526" t="n">
        <f aca="false">IF(ISERROR(S31*J31*K31),0,S31*J31*K31)</f>
        <v>30</v>
      </c>
      <c r="V31" s="542" t="n">
        <f aca="false">IF(ISERROR(S31*K31),0,S31*K31)</f>
        <v>3</v>
      </c>
      <c r="W31" s="543"/>
      <c r="X31" s="544"/>
      <c r="Y31" s="529" t="str">
        <f aca="false">IF(AND(ISNUMBER(F31),OR(A31="",A31="!!!!!!")),"!!!!!!",IF(A31="new.cod","NEWCOD",IF(AND((Z31=""),ISTEXT(A31),A31&lt;&gt;"!!!!!!"),A31,IF(Z31="","",INDEX('liste reference'!$A$6:$A$1245,Z31)))))</f>
        <v>SPISPX</v>
      </c>
      <c r="Z31" s="511" t="n">
        <f aca="false">IF(ISERROR(MATCH(A31,'liste reference'!$A$6:$A$1245,0)),IF(ISERROR(MATCH(A31,'liste reference'!$B$6:$B$1245,0)),"",(MATCH(A31,'liste reference'!$B$6:$B$1245,0))),(MATCH(A31,'liste reference'!$A$6:$A$1245,0)))</f>
        <v>118</v>
      </c>
    </row>
    <row r="32" customFormat="false" ht="12.75" hidden="false" customHeight="false" outlineLevel="0" collapsed="false">
      <c r="A32" s="530" t="s">
        <v>417</v>
      </c>
      <c r="B32" s="531"/>
      <c r="C32" s="532" t="n">
        <v>0.1</v>
      </c>
      <c r="D32" s="533" t="str">
        <f aca="false">IF(ISERROR(VLOOKUP($A32,'liste reference'!$A$6:$B$1245,2,0)),IF(ISERROR(VLOOKUP($A32,'liste reference'!$B$6:$B$1245,1,0)),"",VLOOKUP($A32,'liste reference'!$B$6:$B$1245,1,0)),VLOOKUP($A32,'liste reference'!$A$6:$B$1245,2,0))</f>
        <v>Tribonema sp.</v>
      </c>
      <c r="E32" s="534" t="e">
        <f aca="false">IF(D32="",0,VLOOKUP(D32,D$22:D31,1,0))</f>
        <v>#N/A</v>
      </c>
      <c r="F32" s="535" t="n">
        <f aca="false">IF(AND(OR(A32="",A32="!!!!!!"),B32="",C32=""),"",IF(OR(AND(B32="",C32=""),ISERROR(C32+B32)),"!!!",($B32*$B$7+$C32*$C$7)/100))</f>
        <v>0.09</v>
      </c>
      <c r="G32" s="536" t="str">
        <f aca="false">IF(A32="","",IF(ISERROR(VLOOKUP($A32,'liste reference'!$A$6:$Q$1245,9,0)),IF(ISERROR(VLOOKUP($A32,'liste reference'!$B$6:$Q$1245,8,0)),"    -",VLOOKUP($A32,'liste reference'!$B$6:$Q$1245,8,0)),VLOOKUP($A32,'liste reference'!$A$6:$Q$1245,9,0)))</f>
        <v>ALG</v>
      </c>
      <c r="H32" s="537" t="n">
        <f aca="false">IF(A32="","x",IF(ISERROR(VLOOKUP($A32,'liste reference'!$A$6:$Q$1245,10,0)),IF(ISERROR(VLOOKUP($A32,'liste reference'!$B$6:$Q$1245,9,0)),"x",VLOOKUP($A32,'liste reference'!$B$6:$Q$1245,9,0)),VLOOKUP($A32,'liste reference'!$A$6:$Q$1245,10,0)))</f>
        <v>2</v>
      </c>
      <c r="I32" s="321" t="n">
        <f aca="false">IF(A32="","",1)</f>
        <v>1</v>
      </c>
      <c r="J32" s="538" t="n">
        <f aca="false">IF(ISNUMBER($H32),IF(ISERROR(VLOOKUP($A32,'liste reference'!$A$6:$Q$1245,6,0)),IF(ISERROR(VLOOKUP($A32,'liste reference'!$B$6:$Q$1245,5,0)),"nu",VLOOKUP($A32,'liste reference'!$B$6:$Q$1245,5,0)),VLOOKUP($A32,'liste reference'!$A$6:$Q$1245,6,0)),"nu")</f>
        <v>11</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Tribonema sp.</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1167</v>
      </c>
      <c r="R32" s="525" t="n">
        <f aca="false">IF(ISTEXT(H32),"",(B32*$B$7/100)+(C32*$C$7/100))</f>
        <v>0.09</v>
      </c>
      <c r="S32" s="526" t="n">
        <f aca="false">IF(OR(ISTEXT(H32),R32=0),"",IF(R32&lt;0.1,1,IF(R32&lt;1,2,IF(R32&lt;10,3,IF(R32&lt;50,4,IF(R32&gt;=50,5,""))))))</f>
        <v>1</v>
      </c>
      <c r="T32" s="526" t="n">
        <f aca="false">IF(ISERROR(S32*J32),0,S32*J32)</f>
        <v>11</v>
      </c>
      <c r="U32" s="526" t="n">
        <f aca="false">IF(ISERROR(S32*J32*K32),0,S32*J32*K32)</f>
        <v>22</v>
      </c>
      <c r="V32" s="542" t="n">
        <f aca="false">IF(ISERROR(S32*K32),0,S32*K32)</f>
        <v>2</v>
      </c>
      <c r="W32" s="543"/>
      <c r="X32" s="544"/>
      <c r="Y32" s="529" t="str">
        <f aca="false">IF(AND(ISNUMBER(F32),OR(A32="",A32="!!!!!!")),"!!!!!!",IF(A32="new.cod","NEWCOD",IF(AND((Z32=""),ISTEXT(A32),A32&lt;&gt;"!!!!!!"),A32,IF(Z32="","",INDEX('liste reference'!$A$6:$A$1245,Z32)))))</f>
        <v>TRISPX</v>
      </c>
      <c r="Z32" s="511" t="n">
        <f aca="false">IF(ISERROR(MATCH(A32,'liste reference'!$A$6:$A$1245,0)),IF(ISERROR(MATCH(A32,'liste reference'!$B$6:$B$1245,0)),"",(MATCH(A32,'liste reference'!$B$6:$B$1245,0))),(MATCH(A32,'liste reference'!$A$6:$A$1245,0)))</f>
        <v>132</v>
      </c>
    </row>
    <row r="33" customFormat="false" ht="12.75" hidden="false" customHeight="false" outlineLevel="0" collapsed="false">
      <c r="A33" s="530" t="s">
        <v>434</v>
      </c>
      <c r="B33" s="531" t="n">
        <v>30</v>
      </c>
      <c r="C33" s="532" t="n">
        <v>0.005</v>
      </c>
      <c r="D33" s="533" t="str">
        <f aca="false">IF(ISERROR(VLOOKUP($A33,'liste reference'!$A$6:$B$1245,2,0)),IF(ISERROR(VLOOKUP($A33,'liste reference'!$B$6:$B$1245,1,0)),"",VLOOKUP($A33,'liste reference'!$B$6:$B$1245,1,0)),VLOOKUP($A33,'liste reference'!$A$6:$B$1245,2,0))</f>
        <v>Vaucheria sp.</v>
      </c>
      <c r="E33" s="534" t="e">
        <f aca="false">IF(D33="",0,VLOOKUP(D33,D$22:D32,1,0))</f>
        <v>#N/A</v>
      </c>
      <c r="F33" s="535" t="n">
        <f aca="false">IF(AND(OR(A33="",A33="!!!!!!"),B33="",C33=""),"",IF(OR(AND(B33="",C33=""),ISERROR(C33+B33)),"!!!",($B33*$B$7+$C33*$C$7)/100))</f>
        <v>3.0045</v>
      </c>
      <c r="G33" s="536" t="str">
        <f aca="false">IF(A33="","",IF(ISERROR(VLOOKUP($A33,'liste reference'!$A$6:$Q$1245,9,0)),IF(ISERROR(VLOOKUP($A33,'liste reference'!$B$6:$Q$1245,8,0)),"    -",VLOOKUP($A33,'liste reference'!$B$6:$Q$1245,8,0)),VLOOKUP($A33,'liste reference'!$A$6:$Q$1245,9,0)))</f>
        <v>ALG</v>
      </c>
      <c r="H33" s="537" t="n">
        <f aca="false">IF(A33="","x",IF(ISERROR(VLOOKUP($A33,'liste reference'!$A$6:$Q$1245,10,0)),IF(ISERROR(VLOOKUP($A33,'liste reference'!$B$6:$Q$1245,9,0)),"x",VLOOKUP($A33,'liste reference'!$B$6:$Q$1245,9,0)),VLOOKUP($A33,'liste reference'!$A$6:$Q$1245,10,0)))</f>
        <v>2</v>
      </c>
      <c r="I33" s="321" t="n">
        <f aca="false">IF(A33="","",1)</f>
        <v>1</v>
      </c>
      <c r="J33" s="538" t="n">
        <f aca="false">IF(ISNUMBER($H33),IF(ISERROR(VLOOKUP($A33,'liste reference'!$A$6:$Q$1245,6,0)),IF(ISERROR(VLOOKUP($A33,'liste reference'!$B$6:$Q$1245,5,0)),"nu",VLOOKUP($A33,'liste reference'!$B$6:$Q$1245,5,0)),VLOOKUP($A33,'liste reference'!$A$6:$Q$1245,6,0)),"nu")</f>
        <v>4</v>
      </c>
      <c r="K33" s="538" t="n">
        <f aca="false">IF(ISNUMBER($H33),IF(ISERROR(VLOOKUP($A33,'liste reference'!$A$6:$Q$1245,7,0)),IF(ISERROR(VLOOKUP($A33,'liste reference'!$B$6:$Q$1245,6,0)),"nu",VLOOKUP($A33,'liste reference'!$B$6:$Q$1245,6,0)),VLOOKUP($A33,'liste reference'!$A$6:$Q$1245,7,0)),"nu")</f>
        <v>1</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Vaucheria sp.</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1169</v>
      </c>
      <c r="R33" s="525" t="n">
        <f aca="false">IF(ISTEXT(H33),"",(B33*$B$7/100)+(C33*$C$7/100))</f>
        <v>3.0045</v>
      </c>
      <c r="S33" s="526" t="n">
        <f aca="false">IF(OR(ISTEXT(H33),R33=0),"",IF(R33&lt;0.1,1,IF(R33&lt;1,2,IF(R33&lt;10,3,IF(R33&lt;50,4,IF(R33&gt;=50,5,""))))))</f>
        <v>3</v>
      </c>
      <c r="T33" s="526" t="n">
        <f aca="false">IF(ISERROR(S33*J33),0,S33*J33)</f>
        <v>12</v>
      </c>
      <c r="U33" s="526" t="n">
        <f aca="false">IF(ISERROR(S33*J33*K33),0,S33*J33*K33)</f>
        <v>12</v>
      </c>
      <c r="V33" s="542" t="n">
        <f aca="false">IF(ISERROR(S33*K33),0,S33*K33)</f>
        <v>3</v>
      </c>
      <c r="W33" s="543"/>
      <c r="X33" s="544"/>
      <c r="Y33" s="529" t="str">
        <f aca="false">IF(AND(ISNUMBER(F33),OR(A33="",A33="!!!!!!")),"!!!!!!",IF(A33="new.cod","NEWCOD",IF(AND((Z33=""),ISTEXT(A33),A33&lt;&gt;"!!!!!!"),A33,IF(Z33="","",INDEX('liste reference'!$A$6:$A$1245,Z33)))))</f>
        <v>VAUSPX</v>
      </c>
      <c r="Z33" s="511" t="n">
        <f aca="false">IF(ISERROR(MATCH(A33,'liste reference'!$A$6:$A$1245,0)),IF(ISERROR(MATCH(A33,'liste reference'!$B$6:$B$1245,0)),"",(MATCH(A33,'liste reference'!$B$6:$B$1245,0))),(MATCH(A33,'liste reference'!$A$6:$A$1245,0)))</f>
        <v>137</v>
      </c>
    </row>
    <row r="34" customFormat="false" ht="12.75" hidden="false" customHeight="false" outlineLevel="0" collapsed="false">
      <c r="A34" s="530" t="s">
        <v>751</v>
      </c>
      <c r="B34" s="531"/>
      <c r="C34" s="532" t="n">
        <v>0.005</v>
      </c>
      <c r="D34" s="533" t="str">
        <f aca="false">IF(ISERROR(VLOOKUP($A34,'liste reference'!$A$6:$B$1245,2,0)),IF(ISERROR(VLOOKUP($A34,'liste reference'!$B$6:$B$1245,1,0)),"",VLOOKUP($A34,'liste reference'!$B$6:$B$1245,1,0)),VLOOKUP($A34,'liste reference'!$A$6:$B$1245,2,0))</f>
        <v>Cinclidotus riparius</v>
      </c>
      <c r="E34" s="534" t="e">
        <f aca="false">IF(D34="",0,VLOOKUP(D34,D$22:D33,1,0))</f>
        <v>#N/A</v>
      </c>
      <c r="F34" s="535" t="n">
        <f aca="false">IF(AND(OR(A34="",A34="!!!!!!"),B34="",C34=""),"",IF(OR(AND(B34="",C34=""),ISERROR(C34+B34)),"!!!",($B34*$B$7+$C34*$C$7)/100))</f>
        <v>0.0045</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13</v>
      </c>
      <c r="K34" s="538" t="n">
        <f aca="false">IF(ISNUMBER($H34),IF(ISERROR(VLOOKUP($A34,'liste reference'!$A$6:$Q$1245,7,0)),IF(ISERROR(VLOOKUP($A34,'liste reference'!$B$6:$Q$1245,6,0)),"nu",VLOOKUP($A34,'liste reference'!$B$6:$Q$1245,6,0)),VLOOKUP($A34,'liste reference'!$A$6:$Q$1245,7,0)),"nu")</f>
        <v>2</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Cinclidotus riparius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1321</v>
      </c>
      <c r="R34" s="525" t="n">
        <f aca="false">IF(ISTEXT(H34),"",(B34*$B$7/100)+(C34*$C$7/100))</f>
        <v>0.0045</v>
      </c>
      <c r="S34" s="526" t="n">
        <f aca="false">IF(OR(ISTEXT(H34),R34=0),"",IF(R34&lt;0.1,1,IF(R34&lt;1,2,IF(R34&lt;10,3,IF(R34&lt;50,4,IF(R34&gt;=50,5,""))))))</f>
        <v>1</v>
      </c>
      <c r="T34" s="526" t="n">
        <f aca="false">IF(ISERROR(S34*J34),0,S34*J34)</f>
        <v>13</v>
      </c>
      <c r="U34" s="526" t="n">
        <f aca="false">IF(ISERROR(S34*J34*K34),0,S34*J34*K34)</f>
        <v>26</v>
      </c>
      <c r="V34" s="542" t="n">
        <f aca="false">IF(ISERROR(S34*K34),0,S34*K34)</f>
        <v>2</v>
      </c>
      <c r="W34" s="543"/>
      <c r="X34" s="544"/>
      <c r="Y34" s="529" t="str">
        <f aca="false">IF(AND(ISNUMBER(F34),OR(A34="",A34="!!!!!!")),"!!!!!!",IF(A34="new.cod","NEWCOD",IF(AND((Z34=""),ISTEXT(A34),A34&lt;&gt;"!!!!!!"),A34,IF(Z34="","",INDEX('liste reference'!$A$6:$A$1245,Z34)))))</f>
        <v>CINRIP</v>
      </c>
      <c r="Z34" s="511" t="n">
        <f aca="false">IF(ISERROR(MATCH(A34,'liste reference'!$A$6:$A$1245,0)),IF(ISERROR(MATCH(A34,'liste reference'!$B$6:$B$1245,0)),"",(MATCH(A34,'liste reference'!$B$6:$B$1245,0))),(MATCH(A34,'liste reference'!$A$6:$A$1245,0)))</f>
        <v>243</v>
      </c>
    </row>
    <row r="35" customFormat="false" ht="12.75" hidden="false" customHeight="false" outlineLevel="0" collapsed="false">
      <c r="A35" s="530" t="s">
        <v>883</v>
      </c>
      <c r="B35" s="531"/>
      <c r="C35" s="532" t="n">
        <v>0.005</v>
      </c>
      <c r="D35" s="533" t="str">
        <f aca="false">IF(ISERROR(VLOOKUP($A35,'liste reference'!$A$6:$B$1245,2,0)),IF(ISERROR(VLOOKUP($A35,'liste reference'!$B$6:$B$1245,1,0)),"",VLOOKUP($A35,'liste reference'!$B$6:$B$1245,1,0)),VLOOKUP($A35,'liste reference'!$A$6:$B$1245,2,0))</f>
        <v>Fissidens fontanus</v>
      </c>
      <c r="E35" s="534" t="e">
        <f aca="false">IF(D35="",0,VLOOKUP(D35,D$22:D34,1,0))</f>
        <v>#N/A</v>
      </c>
      <c r="F35" s="535" t="n">
        <f aca="false">IF(AND(OR(A35="",A35="!!!!!!"),B35="",C35=""),"",IF(OR(AND(B35="",C35=""),ISERROR(C35+B35)),"!!!",($B35*$B$7+$C35*$C$7)/100))</f>
        <v>0.0045</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7</v>
      </c>
      <c r="K35" s="538" t="n">
        <f aca="false">IF(ISNUMBER($H35),IF(ISERROR(VLOOKUP($A35,'liste reference'!$A$6:$Q$1245,7,0)),IF(ISERROR(VLOOKUP($A35,'liste reference'!$B$6:$Q$1245,6,0)),"nu",VLOOKUP($A35,'liste reference'!$B$6:$Q$1245,6,0)),VLOOKUP($A35,'liste reference'!$A$6:$Q$1245,7,0)),"nu")</f>
        <v>3</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Fissidens fontanus</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31545</v>
      </c>
      <c r="R35" s="525" t="n">
        <f aca="false">IF(ISTEXT(H35),"",(B35*$B$7/100)+(C35*$C$7/100))</f>
        <v>0.0045</v>
      </c>
      <c r="S35" s="526" t="n">
        <f aca="false">IF(OR(ISTEXT(H35),R35=0),"",IF(R35&lt;0.1,1,IF(R35&lt;1,2,IF(R35&lt;10,3,IF(R35&lt;50,4,IF(R35&gt;=50,5,""))))))</f>
        <v>1</v>
      </c>
      <c r="T35" s="526" t="n">
        <f aca="false">IF(ISERROR(S35*J35),0,S35*J35)</f>
        <v>7</v>
      </c>
      <c r="U35" s="526" t="n">
        <f aca="false">IF(ISERROR(S35*J35*K35),0,S35*J35*K35)</f>
        <v>21</v>
      </c>
      <c r="V35" s="542" t="n">
        <f aca="false">IF(ISERROR(S35*K35),0,S35*K35)</f>
        <v>3</v>
      </c>
      <c r="W35" s="543"/>
      <c r="X35" s="544"/>
      <c r="Y35" s="529" t="str">
        <f aca="false">IF(AND(ISNUMBER(F35),OR(A35="",A35="!!!!!!")),"!!!!!!",IF(A35="new.cod","NEWCOD",IF(AND((Z35=""),ISTEXT(A35),A35&lt;&gt;"!!!!!!"),A35,IF(Z35="","",INDEX('liste reference'!$A$6:$A$1245,Z35)))))</f>
        <v>FISFON</v>
      </c>
      <c r="Z35" s="511" t="n">
        <f aca="false">IF(ISERROR(MATCH(A35,'liste reference'!$A$6:$A$1245,0)),IF(ISERROR(MATCH(A35,'liste reference'!$B$6:$B$1245,0)),"",(MATCH(A35,'liste reference'!$B$6:$B$1245,0))),(MATCH(A35,'liste reference'!$A$6:$A$1245,0)))</f>
        <v>278</v>
      </c>
    </row>
    <row r="36" customFormat="false" ht="12.75" hidden="false" customHeight="false" outlineLevel="0" collapsed="false">
      <c r="A36" s="530" t="s">
        <v>939</v>
      </c>
      <c r="B36" s="531" t="n">
        <v>0.005</v>
      </c>
      <c r="C36" s="532"/>
      <c r="D36" s="533" t="str">
        <f aca="false">IF(ISERROR(VLOOKUP($A36,'liste reference'!$A$6:$B$1245,2,0)),IF(ISERROR(VLOOKUP($A36,'liste reference'!$B$6:$B$1245,1,0)),"",VLOOKUP($A36,'liste reference'!$B$6:$B$1245,1,0)),VLOOKUP($A36,'liste reference'!$A$6:$B$1245,2,0))</f>
        <v>Fontinalis hypnoides var. duriaei</v>
      </c>
      <c r="E36" s="534" t="e">
        <f aca="false">IF(D36="",0,VLOOKUP(D36,D$22:D35,1,0))</f>
        <v>#N/A</v>
      </c>
      <c r="F36" s="535" t="n">
        <f aca="false">IF(AND(OR(A36="",A36="!!!!!!"),B36="",C36=""),"",IF(OR(AND(B36="",C36=""),ISERROR(C36+B36)),"!!!",($B36*$B$7+$C36*$C$7)/100))</f>
        <v>0.0005</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14</v>
      </c>
      <c r="K36" s="538" t="n">
        <f aca="false">IF(ISNUMBER($H36),IF(ISERROR(VLOOKUP($A36,'liste reference'!$A$6:$Q$1245,7,0)),IF(ISERROR(VLOOKUP($A36,'liste reference'!$B$6:$Q$1245,6,0)),"nu",VLOOKUP($A36,'liste reference'!$B$6:$Q$1245,6,0)),VLOOKUP($A36,'liste reference'!$A$6:$Q$1245,7,0)),"nu")</f>
        <v>3</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Fontinalis hypnoides var. duriaei</v>
      </c>
      <c r="M36" s="539"/>
      <c r="N36" s="539"/>
      <c r="O36" s="539"/>
      <c r="P36" s="540" t="s">
        <v>3639</v>
      </c>
      <c r="Q36" s="541" t="n">
        <f aca="false">IF(OR($A36="NEWCOD",$A36="!!!!!!"),IF(X36="","NoCod",X36),IF($A36="","",IF(ISERROR(VLOOKUP($A36,'liste reference'!$A$6:$H$1245,8,FALSE())),IF(ISERROR(VLOOKUP($A36,'liste reference'!$B$6:$H$1245,7,FALSE())),"",VLOOKUP($A36,'liste reference'!$B$6:$H$1245,7,FALSE())),VLOOKUP($A36,'liste reference'!$A$6:$H$1245,8,FALSE()))))</f>
        <v>10215</v>
      </c>
      <c r="R36" s="525" t="n">
        <f aca="false">IF(ISTEXT(H36),"",(B36*$B$7/100)+(C36*$C$7/100))</f>
        <v>0.0005</v>
      </c>
      <c r="S36" s="526" t="n">
        <f aca="false">IF(OR(ISTEXT(H36),R36=0),"",IF(R36&lt;0.1,1,IF(R36&lt;1,2,IF(R36&lt;10,3,IF(R36&lt;50,4,IF(R36&gt;=50,5,""))))))</f>
        <v>1</v>
      </c>
      <c r="T36" s="526" t="n">
        <f aca="false">IF(ISERROR(S36*J36),0,S36*J36)</f>
        <v>14</v>
      </c>
      <c r="U36" s="526" t="n">
        <f aca="false">IF(ISERROR(S36*J36*K36),0,S36*J36*K36)</f>
        <v>42</v>
      </c>
      <c r="V36" s="542" t="n">
        <f aca="false">IF(ISERROR(S36*K36),0,S36*K36)</f>
        <v>3</v>
      </c>
      <c r="W36" s="543"/>
      <c r="X36" s="544"/>
      <c r="Y36" s="529" t="str">
        <f aca="false">IF(AND(ISNUMBER(F36),OR(A36="",A36="!!!!!!")),"!!!!!!",IF(A36="new.cod","NEWCOD",IF(AND((Z36=""),ISTEXT(A36),A36&lt;&gt;"!!!!!!"),A36,IF(Z36="","",INDEX('liste reference'!$A$6:$A$1245,Z36)))))</f>
        <v>FONHYD</v>
      </c>
      <c r="Z36" s="511" t="n">
        <f aca="false">IF(ISERROR(MATCH(A36,'liste reference'!$A$6:$A$1245,0)),IF(ISERROR(MATCH(A36,'liste reference'!$B$6:$B$1245,0)),"",(MATCH(A36,'liste reference'!$B$6:$B$1245,0))),(MATCH(A36,'liste reference'!$A$6:$A$1245,0)))</f>
        <v>296</v>
      </c>
    </row>
    <row r="37" customFormat="false" ht="12.75" hidden="false" customHeight="false" outlineLevel="0" collapsed="false">
      <c r="A37" s="530" t="s">
        <v>1019</v>
      </c>
      <c r="B37" s="531" t="n">
        <v>0.005</v>
      </c>
      <c r="C37" s="532" t="n">
        <v>0.005</v>
      </c>
      <c r="D37" s="533" t="str">
        <f aca="false">IF(ISERROR(VLOOKUP($A37,'liste reference'!$A$6:$B$1245,2,0)),IF(ISERROR(VLOOKUP($A37,'liste reference'!$B$6:$B$1245,1,0)),"",VLOOKUP($A37,'liste reference'!$B$6:$B$1245,1,0)),VLOOKUP($A37,'liste reference'!$A$6:$B$1245,2,0))</f>
        <v>Leptodictyum riparium </v>
      </c>
      <c r="E37" s="534" t="e">
        <f aca="false">IF(D37="",0,VLOOKUP(D37,D$22:D36,1,0))</f>
        <v>#N/A</v>
      </c>
      <c r="F37" s="535" t="n">
        <f aca="false">IF(AND(OR(A37="",A37="!!!!!!"),B37="",C37=""),"",IF(OR(AND(B37="",C37=""),ISERROR(C37+B37)),"!!!",($B37*$B$7+$C37*$C$7)/100))</f>
        <v>0.005</v>
      </c>
      <c r="G37" s="536" t="str">
        <f aca="false">IF(A37="","",IF(ISERROR(VLOOKUP($A37,'liste reference'!$A$6:$Q$1245,9,0)),IF(ISERROR(VLOOKUP($A37,'liste reference'!$B$6:$Q$1245,8,0)),"    -",VLOOKUP($A37,'liste reference'!$B$6:$Q$1245,8,0)),VLOOKUP($A37,'liste reference'!$A$6:$Q$1245,9,0)))</f>
        <v>BRm</v>
      </c>
      <c r="H37" s="537" t="n">
        <f aca="false">IF(A37="","x",IF(ISERROR(VLOOKUP($A37,'liste reference'!$A$6:$Q$1245,10,0)),IF(ISERROR(VLOOKUP($A37,'liste reference'!$B$6:$Q$1245,9,0)),"x",VLOOKUP($A37,'liste reference'!$B$6:$Q$1245,9,0)),VLOOKUP($A37,'liste reference'!$A$6:$Q$1245,10,0)))</f>
        <v>5</v>
      </c>
      <c r="I37" s="321" t="n">
        <f aca="false">IF(A37="","",1)</f>
        <v>1</v>
      </c>
      <c r="J37" s="538" t="n">
        <f aca="false">IF(ISNUMBER($H37),IF(ISERROR(VLOOKUP($A37,'liste reference'!$A$6:$Q$1245,6,0)),IF(ISERROR(VLOOKUP($A37,'liste reference'!$B$6:$Q$1245,5,0)),"nu",VLOOKUP($A37,'liste reference'!$B$6:$Q$1245,5,0)),VLOOKUP($A37,'liste reference'!$A$6:$Q$1245,6,0)),"nu")</f>
        <v>5</v>
      </c>
      <c r="K37" s="538" t="n">
        <f aca="false">IF(ISNUMBER($H37),IF(ISERROR(VLOOKUP($A37,'liste reference'!$A$6:$Q$1245,7,0)),IF(ISERROR(VLOOKUP($A37,'liste reference'!$B$6:$Q$1245,6,0)),"nu",VLOOKUP($A37,'liste reference'!$B$6:$Q$1245,6,0)),VLOOKUP($A37,'liste reference'!$A$6:$Q$1245,7,0)),"nu")</f>
        <v>2</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Leptodictyum riparium </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1244</v>
      </c>
      <c r="R37" s="525" t="n">
        <f aca="false">IF(ISTEXT(H37),"",(B37*$B$7/100)+(C37*$C$7/100))</f>
        <v>0.005</v>
      </c>
      <c r="S37" s="526" t="n">
        <f aca="false">IF(OR(ISTEXT(H37),R37=0),"",IF(R37&lt;0.1,1,IF(R37&lt;1,2,IF(R37&lt;10,3,IF(R37&lt;50,4,IF(R37&gt;=50,5,""))))))</f>
        <v>1</v>
      </c>
      <c r="T37" s="526" t="n">
        <f aca="false">IF(ISERROR(S37*J37),0,S37*J37)</f>
        <v>5</v>
      </c>
      <c r="U37" s="526" t="n">
        <f aca="false">IF(ISERROR(S37*J37*K37),0,S37*J37*K37)</f>
        <v>10</v>
      </c>
      <c r="V37" s="542" t="n">
        <f aca="false">IF(ISERROR(S37*K37),0,S37*K37)</f>
        <v>2</v>
      </c>
      <c r="W37" s="543"/>
      <c r="X37" s="544"/>
      <c r="Y37" s="529" t="str">
        <f aca="false">IF(AND(ISNUMBER(F37),OR(A37="",A37="!!!!!!")),"!!!!!!",IF(A37="new.cod","NEWCOD",IF(AND((Z37=""),ISTEXT(A37),A37&lt;&gt;"!!!!!!"),A37,IF(Z37="","",INDEX('liste reference'!$A$6:$A$1245,Z37)))))</f>
        <v>LEORIP</v>
      </c>
      <c r="Z37" s="511" t="n">
        <f aca="false">IF(ISERROR(MATCH(A37,'liste reference'!$A$6:$A$1245,0)),IF(ISERROR(MATCH(A37,'liste reference'!$B$6:$B$1245,0)),"",(MATCH(A37,'liste reference'!$B$6:$B$1245,0))),(MATCH(A37,'liste reference'!$A$6:$A$1245,0)))</f>
        <v>319</v>
      </c>
    </row>
    <row r="38" customFormat="false" ht="12.75" hidden="false" customHeight="false" outlineLevel="0" collapsed="false">
      <c r="A38" s="530" t="s">
        <v>1048</v>
      </c>
      <c r="B38" s="531"/>
      <c r="C38" s="532" t="n">
        <v>0.005</v>
      </c>
      <c r="D38" s="533" t="str">
        <f aca="false">IF(ISERROR(VLOOKUP($A38,'liste reference'!$A$6:$B$1245,2,0)),IF(ISERROR(VLOOKUP($A38,'liste reference'!$B$6:$B$1245,1,0)),"",VLOOKUP($A38,'liste reference'!$B$6:$B$1245,1,0)),VLOOKUP($A38,'liste reference'!$A$6:$B$1245,2,0))</f>
        <v>Oxyrrhynchium speciosum </v>
      </c>
      <c r="E38" s="534" t="e">
        <f aca="false">IF(D38="",0,VLOOKUP(D38,D$22:D37,1,0))</f>
        <v>#N/A</v>
      </c>
      <c r="F38" s="535" t="n">
        <f aca="false">IF(AND(OR(A38="",A38="!!!!!!"),B38="",C38=""),"",IF(OR(AND(B38="",C38=""),ISERROR(C38+B38)),"!!!",($B38*$B$7+$C38*$C$7)/100))</f>
        <v>0.0045</v>
      </c>
      <c r="G38" s="536" t="str">
        <f aca="false">IF(A38="","",IF(ISERROR(VLOOKUP($A38,'liste reference'!$A$6:$Q$1245,9,0)),IF(ISERROR(VLOOKUP($A38,'liste reference'!$B$6:$Q$1245,8,0)),"    -",VLOOKUP($A38,'liste reference'!$B$6:$Q$1245,8,0)),VLOOKUP($A38,'liste reference'!$A$6:$Q$1245,9,0)))</f>
        <v>BRm</v>
      </c>
      <c r="H38" s="537" t="n">
        <f aca="false">IF(A38="","x",IF(ISERROR(VLOOKUP($A38,'liste reference'!$A$6:$Q$1245,10,0)),IF(ISERROR(VLOOKUP($A38,'liste reference'!$B$6:$Q$1245,9,0)),"x",VLOOKUP($A38,'liste reference'!$B$6:$Q$1245,9,0)),VLOOKUP($A38,'liste reference'!$A$6:$Q$1245,10,0)))</f>
        <v>5</v>
      </c>
      <c r="I38" s="321" t="n">
        <f aca="false">IF(A38="","",1)</f>
        <v>1</v>
      </c>
      <c r="J38" s="538" t="str">
        <f aca="false">IF(ISNUMBER($H38),IF(ISERROR(VLOOKUP($A38,'liste reference'!$A$6:$Q$1245,6,0)),IF(ISERROR(VLOOKUP($A38,'liste reference'!$B$6:$Q$1245,5,0)),"nu",VLOOKUP($A38,'liste reference'!$B$6:$Q$1245,5,0)),VLOOKUP($A38,'liste reference'!$A$6:$Q$1245,6,0)),"nu")</f>
        <v>nc</v>
      </c>
      <c r="K38" s="538" t="str">
        <f aca="false">IF(ISNUMBER($H38),IF(ISERROR(VLOOKUP($A38,'liste reference'!$A$6:$Q$1245,7,0)),IF(ISERROR(VLOOKUP($A38,'liste reference'!$B$6:$Q$1245,6,0)),"nu",VLOOKUP($A38,'liste reference'!$B$6:$Q$1245,6,0)),VLOOKUP($A38,'liste reference'!$A$6:$Q$1245,7,0)),"nu")</f>
        <v>nc</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Oxyrrhynchium speciosum </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30099</v>
      </c>
      <c r="R38" s="525" t="n">
        <f aca="false">IF(ISTEXT(H38),"",(B38*$B$7/100)+(C38*$C$7/100))</f>
        <v>0.0045</v>
      </c>
      <c r="S38" s="526" t="n">
        <f aca="false">IF(OR(ISTEXT(H38),R38=0),"",IF(R38&lt;0.1,1,IF(R38&lt;1,2,IF(R38&lt;10,3,IF(R38&lt;50,4,IF(R38&gt;=50,5,""))))))</f>
        <v>1</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OXYSPE</v>
      </c>
      <c r="Z38" s="511" t="n">
        <f aca="false">IF(ISERROR(MATCH(A38,'liste reference'!$A$6:$A$1245,0)),IF(ISERROR(MATCH(A38,'liste reference'!$B$6:$B$1245,0)),"",(MATCH(A38,'liste reference'!$B$6:$B$1245,0))),(MATCH(A38,'liste reference'!$A$6:$A$1245,0)))</f>
        <v>329</v>
      </c>
    </row>
    <row r="39" customFormat="false" ht="12.75" hidden="false" customHeight="false" outlineLevel="0" collapsed="false">
      <c r="A39" s="530" t="s">
        <v>1300</v>
      </c>
      <c r="B39" s="531" t="n">
        <v>0.01</v>
      </c>
      <c r="C39" s="532" t="n">
        <v>0.005</v>
      </c>
      <c r="D39" s="533" t="str">
        <f aca="false">IF(ISERROR(VLOOKUP($A39,'liste reference'!$A$6:$B$1245,2,0)),IF(ISERROR(VLOOKUP($A39,'liste reference'!$B$6:$B$1245,1,0)),"",VLOOKUP($A39,'liste reference'!$B$6:$B$1245,1,0)),VLOOKUP($A39,'liste reference'!$A$6:$B$1245,2,0))</f>
        <v>Equisetum arvense</v>
      </c>
      <c r="E39" s="534" t="e">
        <f aca="false">IF(D39="",0,VLOOKUP(D39,D$22:D38,1,0))</f>
        <v>#N/A</v>
      </c>
      <c r="F39" s="535" t="n">
        <f aca="false">IF(AND(OR(A39="",A39="!!!!!!"),B39="",C39=""),"",IF(OR(AND(B39="",C39=""),ISERROR(C39+B39)),"!!!",($B39*$B$7+$C39*$C$7)/100))</f>
        <v>0.0055</v>
      </c>
      <c r="G39" s="536" t="str">
        <f aca="false">IF(A39="","",IF(ISERROR(VLOOKUP($A39,'liste reference'!$A$6:$Q$1245,9,0)),IF(ISERROR(VLOOKUP($A39,'liste reference'!$B$6:$Q$1245,8,0)),"    -",VLOOKUP($A39,'liste reference'!$B$6:$Q$1245,8,0)),VLOOKUP($A39,'liste reference'!$A$6:$Q$1245,9,0)))</f>
        <v>PTE</v>
      </c>
      <c r="H39" s="537" t="n">
        <f aca="false">IF(A39="","x",IF(ISERROR(VLOOKUP($A39,'liste reference'!$A$6:$Q$1245,10,0)),IF(ISERROR(VLOOKUP($A39,'liste reference'!$B$6:$Q$1245,9,0)),"x",VLOOKUP($A39,'liste reference'!$B$6:$Q$1245,9,0)),VLOOKUP($A39,'liste reference'!$A$6:$Q$1245,10,0)))</f>
        <v>6</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Equisetum arvense</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1384</v>
      </c>
      <c r="R39" s="525" t="n">
        <f aca="false">IF(ISTEXT(H39),"",(B39*$B$7/100)+(C39*$C$7/100))</f>
        <v>0.0055</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EQUARV</v>
      </c>
      <c r="Z39" s="511" t="n">
        <f aca="false">IF(ISERROR(MATCH(A39,'liste reference'!$A$6:$A$1245,0)),IF(ISERROR(MATCH(A39,'liste reference'!$B$6:$B$1245,0)),"",(MATCH(A39,'liste reference'!$B$6:$B$1245,0))),(MATCH(A39,'liste reference'!$A$6:$A$1245,0)))</f>
        <v>407</v>
      </c>
    </row>
    <row r="40" customFormat="false" ht="12.75" hidden="false" customHeight="false" outlineLevel="0" collapsed="false">
      <c r="A40" s="530" t="s">
        <v>1392</v>
      </c>
      <c r="B40" s="531"/>
      <c r="C40" s="532" t="n">
        <v>0.005</v>
      </c>
      <c r="D40" s="533" t="str">
        <f aca="false">IF(ISERROR(VLOOKUP($A40,'liste reference'!$A$6:$B$1245,2,0)),IF(ISERROR(VLOOKUP($A40,'liste reference'!$B$6:$B$1245,1,0)),"",VLOOKUP($A40,'liste reference'!$B$6:$B$1245,1,0)),VLOOKUP($A40,'liste reference'!$A$6:$B$1245,2,0))</f>
        <v>Alisma lanceolatum</v>
      </c>
      <c r="E40" s="534" t="e">
        <f aca="false">IF(D40="",0,VLOOKUP(D40,D$22:D39,1,0))</f>
        <v>#N/A</v>
      </c>
      <c r="F40" s="535" t="n">
        <f aca="false">IF(AND(OR(A40="",A40="!!!!!!"),B40="",C40=""),"",IF(OR(AND(B40="",C40=""),ISERROR(C40+B40)),"!!!",($B40*$B$7+$C40*$C$7)/100))</f>
        <v>0.0045</v>
      </c>
      <c r="G40" s="536" t="str">
        <f aca="false">IF(A40="","",IF(ISERROR(VLOOKUP($A40,'liste reference'!$A$6:$Q$1245,9,0)),IF(ISERROR(VLOOKUP($A40,'liste reference'!$B$6:$Q$1245,8,0)),"    -",VLOOKUP($A40,'liste reference'!$B$6:$Q$1245,8,0)),VLOOKUP($A40,'liste reference'!$A$6:$Q$1245,9,0)))</f>
        <v>PHy</v>
      </c>
      <c r="H40" s="537" t="n">
        <f aca="false">IF(A40="","x",IF(ISERROR(VLOOKUP($A40,'liste reference'!$A$6:$Q$1245,10,0)),IF(ISERROR(VLOOKUP($A40,'liste reference'!$B$6:$Q$1245,9,0)),"x",VLOOKUP($A40,'liste reference'!$B$6:$Q$1245,9,0)),VLOOKUP($A40,'liste reference'!$A$6:$Q$1245,10,0)))</f>
        <v>7</v>
      </c>
      <c r="I40" s="321" t="n">
        <f aca="false">IF(A40="","",1)</f>
        <v>1</v>
      </c>
      <c r="J40" s="538" t="n">
        <f aca="false">IF(ISNUMBER($H40),IF(ISERROR(VLOOKUP($A40,'liste reference'!$A$6:$Q$1245,6,0)),IF(ISERROR(VLOOKUP($A40,'liste reference'!$B$6:$Q$1245,5,0)),"nu",VLOOKUP($A40,'liste reference'!$B$6:$Q$1245,5,0)),VLOOKUP($A40,'liste reference'!$A$6:$Q$1245,6,0)),"nu")</f>
        <v>9</v>
      </c>
      <c r="K40" s="538" t="n">
        <f aca="false">IF(ISNUMBER($H40),IF(ISERROR(VLOOKUP($A40,'liste reference'!$A$6:$Q$1245,7,0)),IF(ISERROR(VLOOKUP($A40,'liste reference'!$B$6:$Q$1245,6,0)),"nu",VLOOKUP($A40,'liste reference'!$B$6:$Q$1245,6,0)),VLOOKUP($A40,'liste reference'!$A$6:$Q$1245,7,0)),"nu")</f>
        <v>2</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Alisma lanceolatum</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1446</v>
      </c>
      <c r="R40" s="525" t="n">
        <f aca="false">IF(ISTEXT(H40),"",(B40*$B$7/100)+(C40*$C$7/100))</f>
        <v>0.0045</v>
      </c>
      <c r="S40" s="526" t="n">
        <f aca="false">IF(OR(ISTEXT(H40),R40=0),"",IF(R40&lt;0.1,1,IF(R40&lt;1,2,IF(R40&lt;10,3,IF(R40&lt;50,4,IF(R40&gt;=50,5,""))))))</f>
        <v>1</v>
      </c>
      <c r="T40" s="526" t="n">
        <f aca="false">IF(ISERROR(S40*J40),0,S40*J40)</f>
        <v>9</v>
      </c>
      <c r="U40" s="526" t="n">
        <f aca="false">IF(ISERROR(S40*J40*K40),0,S40*J40*K40)</f>
        <v>18</v>
      </c>
      <c r="V40" s="542" t="n">
        <f aca="false">IF(ISERROR(S40*K40),0,S40*K40)</f>
        <v>2</v>
      </c>
      <c r="W40" s="543"/>
      <c r="X40" s="544"/>
      <c r="Y40" s="529" t="str">
        <f aca="false">IF(AND(ISNUMBER(F40),OR(A40="",A40="!!!!!!")),"!!!!!!",IF(A40="new.cod","NEWCOD",IF(AND((Z40=""),ISTEXT(A40),A40&lt;&gt;"!!!!!!"),A40,IF(Z40="","",INDEX('liste reference'!$A$6:$A$1245,Z40)))))</f>
        <v>ALILAN</v>
      </c>
      <c r="Z40" s="511" t="n">
        <f aca="false">IF(ISERROR(MATCH(A40,'liste reference'!$A$6:$A$1245,0)),IF(ISERROR(MATCH(A40,'liste reference'!$B$6:$B$1245,0)),"",(MATCH(A40,'liste reference'!$B$6:$B$1245,0))),(MATCH(A40,'liste reference'!$A$6:$A$1245,0)))</f>
        <v>442</v>
      </c>
    </row>
    <row r="41" customFormat="false" ht="12.75" hidden="false" customHeight="false" outlineLevel="0" collapsed="false">
      <c r="A41" s="530" t="s">
        <v>1454</v>
      </c>
      <c r="B41" s="531"/>
      <c r="C41" s="532" t="n">
        <v>0.005</v>
      </c>
      <c r="D41" s="533" t="str">
        <f aca="false">IF(ISERROR(VLOOKUP($A41,'liste reference'!$A$6:$B$1245,2,0)),IF(ISERROR(VLOOKUP($A41,'liste reference'!$B$6:$B$1245,1,0)),"",VLOOKUP($A41,'liste reference'!$B$6:$B$1245,1,0)),VLOOKUP($A41,'liste reference'!$A$6:$B$1245,2,0))</f>
        <v>Callitriche obtusangula</v>
      </c>
      <c r="E41" s="534" t="e">
        <f aca="false">IF(D41="",0,VLOOKUP(D41,D$22:D40,1,0))</f>
        <v>#N/A</v>
      </c>
      <c r="F41" s="535" t="n">
        <f aca="false">IF(AND(OR(A41="",A41="!!!!!!"),B41="",C41=""),"",IF(OR(AND(B41="",C41=""),ISERROR(C41+B41)),"!!!",($B41*$B$7+$C41*$C$7)/100))</f>
        <v>0.0045</v>
      </c>
      <c r="G41" s="536" t="str">
        <f aca="false">IF(A41="","",IF(ISERROR(VLOOKUP($A41,'liste reference'!$A$6:$Q$1245,9,0)),IF(ISERROR(VLOOKUP($A41,'liste reference'!$B$6:$Q$1245,8,0)),"    -",VLOOKUP($A41,'liste reference'!$B$6:$Q$1245,8,0)),VLOOKUP($A41,'liste reference'!$A$6:$Q$1245,9,0)))</f>
        <v>PHy</v>
      </c>
      <c r="H41" s="537" t="n">
        <f aca="false">IF(A41="","x",IF(ISERROR(VLOOKUP($A41,'liste reference'!$A$6:$Q$1245,10,0)),IF(ISERROR(VLOOKUP($A41,'liste reference'!$B$6:$Q$1245,9,0)),"x",VLOOKUP($A41,'liste reference'!$B$6:$Q$1245,9,0)),VLOOKUP($A41,'liste reference'!$A$6:$Q$1245,10,0)))</f>
        <v>7</v>
      </c>
      <c r="I41" s="321" t="n">
        <f aca="false">IF(A41="","",1)</f>
        <v>1</v>
      </c>
      <c r="J41" s="538" t="n">
        <f aca="false">IF(ISNUMBER($H41),IF(ISERROR(VLOOKUP($A41,'liste reference'!$A$6:$Q$1245,6,0)),IF(ISERROR(VLOOKUP($A41,'liste reference'!$B$6:$Q$1245,5,0)),"nu",VLOOKUP($A41,'liste reference'!$B$6:$Q$1245,5,0)),VLOOKUP($A41,'liste reference'!$A$6:$Q$1245,6,0)),"nu")</f>
        <v>8</v>
      </c>
      <c r="K41" s="538" t="n">
        <f aca="false">IF(ISNUMBER($H41),IF(ISERROR(VLOOKUP($A41,'liste reference'!$A$6:$Q$1245,7,0)),IF(ISERROR(VLOOKUP($A41,'liste reference'!$B$6:$Q$1245,6,0)),"nu",VLOOKUP($A41,'liste reference'!$B$6:$Q$1245,6,0)),VLOOKUP($A41,'liste reference'!$A$6:$Q$1245,7,0)),"nu")</f>
        <v>2</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Callitriche obtusangula</v>
      </c>
      <c r="M41" s="539"/>
      <c r="N41" s="539"/>
      <c r="O41" s="539"/>
      <c r="P41" s="540" t="s">
        <v>3639</v>
      </c>
      <c r="Q41" s="541" t="n">
        <f aca="false">IF(OR($A41="NEWCOD",$A41="!!!!!!"),IF(X41="","NoCod",X41),IF($A41="","",IF(ISERROR(VLOOKUP($A41,'liste reference'!$A$6:$H$1245,8,FALSE())),IF(ISERROR(VLOOKUP($A41,'liste reference'!$B$6:$H$1245,7,FALSE())),"",VLOOKUP($A41,'liste reference'!$B$6:$H$1245,7,FALSE())),VLOOKUP($A41,'liste reference'!$A$6:$H$1245,8,FALSE()))))</f>
        <v>1700</v>
      </c>
      <c r="R41" s="525" t="n">
        <f aca="false">IF(ISTEXT(H41),"",(B41*$B$7/100)+(C41*$C$7/100))</f>
        <v>0.0045</v>
      </c>
      <c r="S41" s="526" t="n">
        <f aca="false">IF(OR(ISTEXT(H41),R41=0),"",IF(R41&lt;0.1,1,IF(R41&lt;1,2,IF(R41&lt;10,3,IF(R41&lt;50,4,IF(R41&gt;=50,5,""))))))</f>
        <v>1</v>
      </c>
      <c r="T41" s="526" t="n">
        <f aca="false">IF(ISERROR(S41*J41),0,S41*J41)</f>
        <v>8</v>
      </c>
      <c r="U41" s="526" t="n">
        <f aca="false">IF(ISERROR(S41*J41*K41),0,S41*J41*K41)</f>
        <v>16</v>
      </c>
      <c r="V41" s="542" t="n">
        <f aca="false">IF(ISERROR(S41*K41),0,S41*K41)</f>
        <v>2</v>
      </c>
      <c r="W41" s="543"/>
      <c r="X41" s="544"/>
      <c r="Y41" s="529" t="str">
        <f aca="false">IF(AND(ISNUMBER(F41),OR(A41="",A41="!!!!!!")),"!!!!!!",IF(A41="new.cod","NEWCOD",IF(AND((Z41=""),ISTEXT(A41),A41&lt;&gt;"!!!!!!"),A41,IF(Z41="","",INDEX('liste reference'!$A$6:$A$1245,Z41)))))</f>
        <v>CALOBT</v>
      </c>
      <c r="Z41" s="511" t="n">
        <f aca="false">IF(ISERROR(MATCH(A41,'liste reference'!$A$6:$A$1245,0)),IF(ISERROR(MATCH(A41,'liste reference'!$B$6:$B$1245,0)),"",(MATCH(A41,'liste reference'!$B$6:$B$1245,0))),(MATCH(A41,'liste reference'!$A$6:$A$1245,0)))</f>
        <v>462</v>
      </c>
    </row>
    <row r="42" customFormat="false" ht="12.75" hidden="false" customHeight="false" outlineLevel="0" collapsed="false">
      <c r="A42" s="530" t="s">
        <v>1483</v>
      </c>
      <c r="B42" s="531" t="n">
        <v>0.005</v>
      </c>
      <c r="C42" s="532"/>
      <c r="D42" s="533" t="str">
        <f aca="false">IF(ISERROR(VLOOKUP($A42,'liste reference'!$A$6:$B$1245,2,0)),IF(ISERROR(VLOOKUP($A42,'liste reference'!$B$6:$B$1245,1,0)),"",VLOOKUP($A42,'liste reference'!$B$6:$B$1245,1,0)),VLOOKUP($A42,'liste reference'!$A$6:$B$1245,2,0))</f>
        <v>Ceratophyllum demersum</v>
      </c>
      <c r="E42" s="534" t="e">
        <f aca="false">IF(D42="",0,VLOOKUP(D42,D$22:D41,1,0))</f>
        <v>#N/A</v>
      </c>
      <c r="F42" s="535" t="n">
        <f aca="false">IF(AND(OR(A42="",A42="!!!!!!"),B42="",C42=""),"",IF(OR(AND(B42="",C42=""),ISERROR(C42+B42)),"!!!",($B42*$B$7+$C42*$C$7)/100))</f>
        <v>0.0005</v>
      </c>
      <c r="G42" s="536" t="str">
        <f aca="false">IF(A42="","",IF(ISERROR(VLOOKUP($A42,'liste reference'!$A$6:$Q$1245,9,0)),IF(ISERROR(VLOOKUP($A42,'liste reference'!$B$6:$Q$1245,8,0)),"    -",VLOOKUP($A42,'liste reference'!$B$6:$Q$1245,8,0)),VLOOKUP($A42,'liste reference'!$A$6:$Q$1245,9,0)))</f>
        <v>PHy</v>
      </c>
      <c r="H42" s="537" t="n">
        <f aca="false">IF(A42="","x",IF(ISERROR(VLOOKUP($A42,'liste reference'!$A$6:$Q$1245,10,0)),IF(ISERROR(VLOOKUP($A42,'liste reference'!$B$6:$Q$1245,9,0)),"x",VLOOKUP($A42,'liste reference'!$B$6:$Q$1245,9,0)),VLOOKUP($A42,'liste reference'!$A$6:$Q$1245,10,0)))</f>
        <v>7</v>
      </c>
      <c r="I42" s="321" t="n">
        <f aca="false">IF(A42="","",1)</f>
        <v>1</v>
      </c>
      <c r="J42" s="538" t="n">
        <f aca="false">IF(ISNUMBER($H42),IF(ISERROR(VLOOKUP($A42,'liste reference'!$A$6:$Q$1245,6,0)),IF(ISERROR(VLOOKUP($A42,'liste reference'!$B$6:$Q$1245,5,0)),"nu",VLOOKUP($A42,'liste reference'!$B$6:$Q$1245,5,0)),VLOOKUP($A42,'liste reference'!$A$6:$Q$1245,6,0)),"nu")</f>
        <v>5</v>
      </c>
      <c r="K42" s="538" t="n">
        <f aca="false">IF(ISNUMBER($H42),IF(ISERROR(VLOOKUP($A42,'liste reference'!$A$6:$Q$1245,7,0)),IF(ISERROR(VLOOKUP($A42,'liste reference'!$B$6:$Q$1245,6,0)),"nu",VLOOKUP($A42,'liste reference'!$B$6:$Q$1245,6,0)),VLOOKUP($A42,'liste reference'!$A$6:$Q$1245,7,0)),"nu")</f>
        <v>2</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Ceratophyllum demersum</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1717</v>
      </c>
      <c r="R42" s="525" t="n">
        <f aca="false">IF(ISTEXT(H42),"",(B42*$B$7/100)+(C42*$C$7/100))</f>
        <v>0.0005</v>
      </c>
      <c r="S42" s="526" t="n">
        <f aca="false">IF(OR(ISTEXT(H42),R42=0),"",IF(R42&lt;0.1,1,IF(R42&lt;1,2,IF(R42&lt;10,3,IF(R42&lt;50,4,IF(R42&gt;=50,5,""))))))</f>
        <v>1</v>
      </c>
      <c r="T42" s="526" t="n">
        <f aca="false">IF(ISERROR(S42*J42),0,S42*J42)</f>
        <v>5</v>
      </c>
      <c r="U42" s="526" t="n">
        <f aca="false">IF(ISERROR(S42*J42*K42),0,S42*J42*K42)</f>
        <v>10</v>
      </c>
      <c r="V42" s="542" t="n">
        <f aca="false">IF(ISERROR(S42*K42),0,S42*K42)</f>
        <v>2</v>
      </c>
      <c r="W42" s="543"/>
      <c r="X42" s="544"/>
      <c r="Y42" s="529" t="str">
        <f aca="false">IF(AND(ISNUMBER(F42),OR(A42="",A42="!!!!!!")),"!!!!!!",IF(A42="new.cod","NEWCOD",IF(AND((Z42=""),ISTEXT(A42),A42&lt;&gt;"!!!!!!"),A42,IF(Z42="","",INDEX('liste reference'!$A$6:$A$1245,Z42)))))</f>
        <v>CERDEM</v>
      </c>
      <c r="Z42" s="511" t="n">
        <f aca="false">IF(ISERROR(MATCH(A42,'liste reference'!$A$6:$A$1245,0)),IF(ISERROR(MATCH(A42,'liste reference'!$B$6:$B$1245,0)),"",(MATCH(A42,'liste reference'!$B$6:$B$1245,0))),(MATCH(A42,'liste reference'!$A$6:$A$1245,0)))</f>
        <v>473</v>
      </c>
    </row>
    <row r="43" customFormat="false" ht="12.75" hidden="false" customHeight="false" outlineLevel="0" collapsed="false">
      <c r="A43" s="530" t="s">
        <v>1541</v>
      </c>
      <c r="B43" s="531" t="n">
        <v>0.1</v>
      </c>
      <c r="C43" s="532" t="n">
        <v>0.1</v>
      </c>
      <c r="D43" s="533" t="str">
        <f aca="false">IF(ISERROR(VLOOKUP($A43,'liste reference'!$A$6:$B$1245,2,0)),IF(ISERROR(VLOOKUP($A43,'liste reference'!$B$6:$B$1245,1,0)),"",VLOOKUP($A43,'liste reference'!$B$6:$B$1245,1,0)),VLOOKUP($A43,'liste reference'!$A$6:$B$1245,2,0))</f>
        <v>Helosciadium nodiflorum </v>
      </c>
      <c r="E43" s="534" t="e">
        <f aca="false">IF(D43="",0,VLOOKUP(D43,D$22:D42,1,0))</f>
        <v>#N/A</v>
      </c>
      <c r="F43" s="535" t="n">
        <f aca="false">IF(AND(OR(A43="",A43="!!!!!!"),B43="",C43=""),"",IF(OR(AND(B43="",C43=""),ISERROR(C43+B43)),"!!!",($B43*$B$7+$C43*$C$7)/100))</f>
        <v>0.1</v>
      </c>
      <c r="G43" s="536" t="str">
        <f aca="false">IF(A43="","",IF(ISERROR(VLOOKUP($A43,'liste reference'!$A$6:$Q$1245,9,0)),IF(ISERROR(VLOOKUP($A43,'liste reference'!$B$6:$Q$1245,8,0)),"    -",VLOOKUP($A43,'liste reference'!$B$6:$Q$1245,8,0)),VLOOKUP($A43,'liste reference'!$A$6:$Q$1245,9,0)))</f>
        <v>PHy</v>
      </c>
      <c r="H43" s="537" t="n">
        <f aca="false">IF(A43="","x",IF(ISERROR(VLOOKUP($A43,'liste reference'!$A$6:$Q$1245,10,0)),IF(ISERROR(VLOOKUP($A43,'liste reference'!$B$6:$Q$1245,9,0)),"x",VLOOKUP($A43,'liste reference'!$B$6:$Q$1245,9,0)),VLOOKUP($A43,'liste reference'!$A$6:$Q$1245,10,0)))</f>
        <v>7</v>
      </c>
      <c r="I43" s="321" t="n">
        <f aca="false">IF(A43="","",1)</f>
        <v>1</v>
      </c>
      <c r="J43" s="538" t="n">
        <f aca="false">IF(ISNUMBER($H43),IF(ISERROR(VLOOKUP($A43,'liste reference'!$A$6:$Q$1245,6,0)),IF(ISERROR(VLOOKUP($A43,'liste reference'!$B$6:$Q$1245,5,0)),"nu",VLOOKUP($A43,'liste reference'!$B$6:$Q$1245,5,0)),VLOOKUP($A43,'liste reference'!$A$6:$Q$1245,6,0)),"nu")</f>
        <v>10</v>
      </c>
      <c r="K43" s="538" t="n">
        <f aca="false">IF(ISNUMBER($H43),IF(ISERROR(VLOOKUP($A43,'liste reference'!$A$6:$Q$1245,7,0)),IF(ISERROR(VLOOKUP($A43,'liste reference'!$B$6:$Q$1245,6,0)),"nu",VLOOKUP($A43,'liste reference'!$B$6:$Q$1245,6,0)),VLOOKUP($A43,'liste reference'!$A$6:$Q$1245,7,0)),"nu")</f>
        <v>1</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Helosciadium nodiflorum </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30053</v>
      </c>
      <c r="R43" s="525" t="n">
        <f aca="false">IF(ISTEXT(H43),"",(B43*$B$7/100)+(C43*$C$7/100))</f>
        <v>0.1</v>
      </c>
      <c r="S43" s="526" t="n">
        <f aca="false">IF(OR(ISTEXT(H43),R43=0),"",IF(R43&lt;0.1,1,IF(R43&lt;1,2,IF(R43&lt;10,3,IF(R43&lt;50,4,IF(R43&gt;=50,5,""))))))</f>
        <v>2</v>
      </c>
      <c r="T43" s="526" t="n">
        <f aca="false">IF(ISERROR(S43*J43),0,S43*J43)</f>
        <v>20</v>
      </c>
      <c r="U43" s="526" t="n">
        <f aca="false">IF(ISERROR(S43*J43*K43),0,S43*J43*K43)</f>
        <v>20</v>
      </c>
      <c r="V43" s="542" t="n">
        <f aca="false">IF(ISERROR(S43*K43),0,S43*K43)</f>
        <v>2</v>
      </c>
      <c r="W43" s="543"/>
      <c r="X43" s="544"/>
      <c r="Y43" s="529" t="str">
        <f aca="false">IF(AND(ISNUMBER(F43),OR(A43="",A43="!!!!!!")),"!!!!!!",IF(A43="new.cod","NEWCOD",IF(AND((Z43=""),ISTEXT(A43),A43&lt;&gt;"!!!!!!"),A43,IF(Z43="","",INDEX('liste reference'!$A$6:$A$1245,Z43)))))</f>
        <v>HELNOD</v>
      </c>
      <c r="Z43" s="511" t="n">
        <f aca="false">IF(ISERROR(MATCH(A43,'liste reference'!$A$6:$A$1245,0)),IF(ISERROR(MATCH(A43,'liste reference'!$B$6:$B$1245,0)),"",(MATCH(A43,'liste reference'!$B$6:$B$1245,0))),(MATCH(A43,'liste reference'!$A$6:$A$1245,0)))</f>
        <v>488</v>
      </c>
    </row>
    <row r="44" customFormat="false" ht="12.75" hidden="false" customHeight="false" outlineLevel="0" collapsed="false">
      <c r="A44" s="530" t="s">
        <v>1587</v>
      </c>
      <c r="B44" s="531" t="n">
        <v>0.01</v>
      </c>
      <c r="C44" s="532" t="n">
        <v>0.25</v>
      </c>
      <c r="D44" s="533" t="str">
        <f aca="false">IF(ISERROR(VLOOKUP($A44,'liste reference'!$A$6:$B$1245,2,0)),IF(ISERROR(VLOOKUP($A44,'liste reference'!$B$6:$B$1245,1,0)),"",VLOOKUP($A44,'liste reference'!$B$6:$B$1245,1,0)),VLOOKUP($A44,'liste reference'!$A$6:$B$1245,2,0))</f>
        <v>Lemna minor</v>
      </c>
      <c r="E44" s="534" t="e">
        <f aca="false">IF(D44="",0,VLOOKUP(D44,D$22:D43,1,0))</f>
        <v>#N/A</v>
      </c>
      <c r="F44" s="535" t="n">
        <f aca="false">IF(AND(OR(A44="",A44="!!!!!!"),B44="",C44=""),"",IF(OR(AND(B44="",C44=""),ISERROR(C44+B44)),"!!!",($B44*$B$7+$C44*$C$7)/100))</f>
        <v>0.226</v>
      </c>
      <c r="G44" s="536" t="str">
        <f aca="false">IF(A44="","",IF(ISERROR(VLOOKUP($A44,'liste reference'!$A$6:$Q$1245,9,0)),IF(ISERROR(VLOOKUP($A44,'liste reference'!$B$6:$Q$1245,8,0)),"    -",VLOOKUP($A44,'liste reference'!$B$6:$Q$1245,8,0)),VLOOKUP($A44,'liste reference'!$A$6:$Q$1245,9,0)))</f>
        <v>PHy</v>
      </c>
      <c r="H44" s="537" t="n">
        <f aca="false">IF(A44="","x",IF(ISERROR(VLOOKUP($A44,'liste reference'!$A$6:$Q$1245,10,0)),IF(ISERROR(VLOOKUP($A44,'liste reference'!$B$6:$Q$1245,9,0)),"x",VLOOKUP($A44,'liste reference'!$B$6:$Q$1245,9,0)),VLOOKUP($A44,'liste reference'!$A$6:$Q$1245,10,0)))</f>
        <v>7</v>
      </c>
      <c r="I44" s="321" t="n">
        <f aca="false">IF(A44="","",1)</f>
        <v>1</v>
      </c>
      <c r="J44" s="538" t="n">
        <f aca="false">IF(ISNUMBER($H44),IF(ISERROR(VLOOKUP($A44,'liste reference'!$A$6:$Q$1245,6,0)),IF(ISERROR(VLOOKUP($A44,'liste reference'!$B$6:$Q$1245,5,0)),"nu",VLOOKUP($A44,'liste reference'!$B$6:$Q$1245,5,0)),VLOOKUP($A44,'liste reference'!$A$6:$Q$1245,6,0)),"nu")</f>
        <v>10</v>
      </c>
      <c r="K44" s="538" t="n">
        <f aca="false">IF(ISNUMBER($H44),IF(ISERROR(VLOOKUP($A44,'liste reference'!$A$6:$Q$1245,7,0)),IF(ISERROR(VLOOKUP($A44,'liste reference'!$B$6:$Q$1245,6,0)),"nu",VLOOKUP($A44,'liste reference'!$B$6:$Q$1245,6,0)),VLOOKUP($A44,'liste reference'!$A$6:$Q$1245,7,0)),"nu")</f>
        <v>1</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Lemna minor</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1626</v>
      </c>
      <c r="R44" s="525" t="n">
        <f aca="false">IF(ISTEXT(H44),"",(B44*$B$7/100)+(C44*$C$7/100))</f>
        <v>0.226</v>
      </c>
      <c r="S44" s="526" t="n">
        <f aca="false">IF(OR(ISTEXT(H44),R44=0),"",IF(R44&lt;0.1,1,IF(R44&lt;1,2,IF(R44&lt;10,3,IF(R44&lt;50,4,IF(R44&gt;=50,5,""))))))</f>
        <v>2</v>
      </c>
      <c r="T44" s="526" t="n">
        <f aca="false">IF(ISERROR(S44*J44),0,S44*J44)</f>
        <v>20</v>
      </c>
      <c r="U44" s="526" t="n">
        <f aca="false">IF(ISERROR(S44*J44*K44),0,S44*J44*K44)</f>
        <v>20</v>
      </c>
      <c r="V44" s="542" t="n">
        <f aca="false">IF(ISERROR(S44*K44),0,S44*K44)</f>
        <v>2</v>
      </c>
      <c r="W44" s="543"/>
      <c r="X44" s="544"/>
      <c r="Y44" s="529" t="str">
        <f aca="false">IF(AND(ISNUMBER(F44),OR(A44="",A44="!!!!!!")),"!!!!!!",IF(A44="new.cod","NEWCOD",IF(AND((Z44=""),ISTEXT(A44),A44&lt;&gt;"!!!!!!"),A44,IF(Z44="","",INDEX('liste reference'!$A$6:$A$1245,Z44)))))</f>
        <v>LEMMIN</v>
      </c>
      <c r="Z44" s="511" t="n">
        <f aca="false">IF(ISERROR(MATCH(A44,'liste reference'!$A$6:$A$1245,0)),IF(ISERROR(MATCH(A44,'liste reference'!$B$6:$B$1245,0)),"",(MATCH(A44,'liste reference'!$B$6:$B$1245,0))),(MATCH(A44,'liste reference'!$A$6:$A$1245,0)))</f>
        <v>503</v>
      </c>
    </row>
    <row r="45" customFormat="false" ht="12.75" hidden="false" customHeight="false" outlineLevel="0" collapsed="false">
      <c r="A45" s="530" t="s">
        <v>1622</v>
      </c>
      <c r="B45" s="531" t="n">
        <v>0.01</v>
      </c>
      <c r="C45" s="532" t="n">
        <v>0.4</v>
      </c>
      <c r="D45" s="533" t="str">
        <f aca="false">IF(ISERROR(VLOOKUP($A45,'liste reference'!$A$6:$B$1245,2,0)),IF(ISERROR(VLOOKUP($A45,'liste reference'!$B$6:$B$1245,1,0)),"",VLOOKUP($A45,'liste reference'!$B$6:$B$1245,1,0)),VLOOKUP($A45,'liste reference'!$A$6:$B$1245,2,0))</f>
        <v>Myriophyllum spicatum</v>
      </c>
      <c r="E45" s="534" t="e">
        <f aca="false">IF(D45="",0,VLOOKUP(D45,D$22:D44,1,0))</f>
        <v>#N/A</v>
      </c>
      <c r="F45" s="535" t="n">
        <f aca="false">IF(AND(OR(A45="",A45="!!!!!!"),B45="",C45=""),"",IF(OR(AND(B45="",C45=""),ISERROR(C45+B45)),"!!!",($B45*$B$7+$C45*$C$7)/100))</f>
        <v>0.361</v>
      </c>
      <c r="G45" s="536" t="str">
        <f aca="false">IF(A45="","",IF(ISERROR(VLOOKUP($A45,'liste reference'!$A$6:$Q$1245,9,0)),IF(ISERROR(VLOOKUP($A45,'liste reference'!$B$6:$Q$1245,8,0)),"    -",VLOOKUP($A45,'liste reference'!$B$6:$Q$1245,8,0)),VLOOKUP($A45,'liste reference'!$A$6:$Q$1245,9,0)))</f>
        <v>PHy</v>
      </c>
      <c r="H45" s="537" t="n">
        <f aca="false">IF(A45="","x",IF(ISERROR(VLOOKUP($A45,'liste reference'!$A$6:$Q$1245,10,0)),IF(ISERROR(VLOOKUP($A45,'liste reference'!$B$6:$Q$1245,9,0)),"x",VLOOKUP($A45,'liste reference'!$B$6:$Q$1245,9,0)),VLOOKUP($A45,'liste reference'!$A$6:$Q$1245,10,0)))</f>
        <v>7</v>
      </c>
      <c r="I45" s="321" t="n">
        <f aca="false">IF(A45="","",1)</f>
        <v>1</v>
      </c>
      <c r="J45" s="538" t="n">
        <f aca="false">IF(ISNUMBER($H45),IF(ISERROR(VLOOKUP($A45,'liste reference'!$A$6:$Q$1245,6,0)),IF(ISERROR(VLOOKUP($A45,'liste reference'!$B$6:$Q$1245,5,0)),"nu",VLOOKUP($A45,'liste reference'!$B$6:$Q$1245,5,0)),VLOOKUP($A45,'liste reference'!$A$6:$Q$1245,6,0)),"nu")</f>
        <v>8</v>
      </c>
      <c r="K45" s="538" t="n">
        <f aca="false">IF(ISNUMBER($H45),IF(ISERROR(VLOOKUP($A45,'liste reference'!$A$6:$Q$1245,7,0)),IF(ISERROR(VLOOKUP($A45,'liste reference'!$B$6:$Q$1245,6,0)),"nu",VLOOKUP($A45,'liste reference'!$B$6:$Q$1245,6,0)),VLOOKUP($A45,'liste reference'!$A$6:$Q$1245,7,0)),"nu")</f>
        <v>2</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Myriophyllum spicatum</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1778</v>
      </c>
      <c r="R45" s="525" t="n">
        <f aca="false">IF(ISTEXT(H45),"",(B45*$B$7/100)+(C45*$C$7/100))</f>
        <v>0.361</v>
      </c>
      <c r="S45" s="526" t="n">
        <f aca="false">IF(OR(ISTEXT(H45),R45=0),"",IF(R45&lt;0.1,1,IF(R45&lt;1,2,IF(R45&lt;10,3,IF(R45&lt;50,4,IF(R45&gt;=50,5,""))))))</f>
        <v>2</v>
      </c>
      <c r="T45" s="526" t="n">
        <f aca="false">IF(ISERROR(S45*J45),0,S45*J45)</f>
        <v>16</v>
      </c>
      <c r="U45" s="526" t="n">
        <f aca="false">IF(ISERROR(S45*J45*K45),0,S45*J45*K45)</f>
        <v>32</v>
      </c>
      <c r="V45" s="542" t="n">
        <f aca="false">IF(ISERROR(S45*K45),0,S45*K45)</f>
        <v>4</v>
      </c>
      <c r="W45" s="543"/>
      <c r="X45" s="544"/>
      <c r="Y45" s="529" t="str">
        <f aca="false">IF(AND(ISNUMBER(F45),OR(A45="",A45="!!!!!!")),"!!!!!!",IF(A45="new.cod","NEWCOD",IF(AND((Z45=""),ISTEXT(A45),A45&lt;&gt;"!!!!!!"),A45,IF(Z45="","",INDEX('liste reference'!$A$6:$A$1245,Z45)))))</f>
        <v>MYRSPI</v>
      </c>
      <c r="Z45" s="511" t="n">
        <f aca="false">IF(ISERROR(MATCH(A45,'liste reference'!$A$6:$A$1245,0)),IF(ISERROR(MATCH(A45,'liste reference'!$B$6:$B$1245,0)),"",(MATCH(A45,'liste reference'!$B$6:$B$1245,0))),(MATCH(A45,'liste reference'!$A$6:$A$1245,0)))</f>
        <v>516</v>
      </c>
    </row>
    <row r="46" customFormat="false" ht="12.75" hidden="false" customHeight="false" outlineLevel="0" collapsed="false">
      <c r="A46" s="530" t="s">
        <v>1732</v>
      </c>
      <c r="B46" s="531"/>
      <c r="C46" s="532" t="n">
        <v>0.02</v>
      </c>
      <c r="D46" s="533" t="str">
        <f aca="false">IF(ISERROR(VLOOKUP($A46,'liste reference'!$A$6:$B$1245,2,0)),IF(ISERROR(VLOOKUP($A46,'liste reference'!$B$6:$B$1245,1,0)),"",VLOOKUP($A46,'liste reference'!$B$6:$B$1245,1,0)),VLOOKUP($A46,'liste reference'!$A$6:$B$1245,2,0))</f>
        <v>Potamogeton crispus</v>
      </c>
      <c r="E46" s="534" t="e">
        <f aca="false">IF(D46="",0,VLOOKUP(D46,D$22:D45,1,0))</f>
        <v>#N/A</v>
      </c>
      <c r="F46" s="535" t="n">
        <f aca="false">IF(AND(OR(A46="",A46="!!!!!!"),B46="",C46=""),"",IF(OR(AND(B46="",C46=""),ISERROR(C46+B46)),"!!!",($B46*$B$7+$C46*$C$7)/100))</f>
        <v>0.018</v>
      </c>
      <c r="G46" s="536" t="str">
        <f aca="false">IF(A46="","",IF(ISERROR(VLOOKUP($A46,'liste reference'!$A$6:$Q$1245,9,0)),IF(ISERROR(VLOOKUP($A46,'liste reference'!$B$6:$Q$1245,8,0)),"    -",VLOOKUP($A46,'liste reference'!$B$6:$Q$1245,8,0)),VLOOKUP($A46,'liste reference'!$A$6:$Q$1245,9,0)))</f>
        <v>PHy</v>
      </c>
      <c r="H46" s="537" t="n">
        <f aca="false">IF(A46="","x",IF(ISERROR(VLOOKUP($A46,'liste reference'!$A$6:$Q$1245,10,0)),IF(ISERROR(VLOOKUP($A46,'liste reference'!$B$6:$Q$1245,9,0)),"x",VLOOKUP($A46,'liste reference'!$B$6:$Q$1245,9,0)),VLOOKUP($A46,'liste reference'!$A$6:$Q$1245,10,0)))</f>
        <v>7</v>
      </c>
      <c r="I46" s="321" t="n">
        <f aca="false">IF(A46="","",1)</f>
        <v>1</v>
      </c>
      <c r="J46" s="538" t="n">
        <f aca="false">IF(ISNUMBER($H46),IF(ISERROR(VLOOKUP($A46,'liste reference'!$A$6:$Q$1245,6,0)),IF(ISERROR(VLOOKUP($A46,'liste reference'!$B$6:$Q$1245,5,0)),"nu",VLOOKUP($A46,'liste reference'!$B$6:$Q$1245,5,0)),VLOOKUP($A46,'liste reference'!$A$6:$Q$1245,6,0)),"nu")</f>
        <v>7</v>
      </c>
      <c r="K46" s="538" t="n">
        <f aca="false">IF(ISNUMBER($H46),IF(ISERROR(VLOOKUP($A46,'liste reference'!$A$6:$Q$1245,7,0)),IF(ISERROR(VLOOKUP($A46,'liste reference'!$B$6:$Q$1245,6,0)),"nu",VLOOKUP($A46,'liste reference'!$B$6:$Q$1245,6,0)),VLOOKUP($A46,'liste reference'!$A$6:$Q$1245,7,0)),"nu")</f>
        <v>2</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Potamogeton crispus</v>
      </c>
      <c r="M46" s="539"/>
      <c r="N46" s="539"/>
      <c r="O46" s="539"/>
      <c r="P46" s="540" t="s">
        <v>3619</v>
      </c>
      <c r="Q46" s="541" t="n">
        <f aca="false">IF(OR($A46="NEWCOD",$A46="!!!!!!"),IF(X46="","NoCod",X46),IF($A46="","",IF(ISERROR(VLOOKUP($A46,'liste reference'!$A$6:$H$1245,8,FALSE())),IF(ISERROR(VLOOKUP($A46,'liste reference'!$B$6:$H$1245,7,FALSE())),"",VLOOKUP($A46,'liste reference'!$B$6:$H$1245,7,FALSE())),VLOOKUP($A46,'liste reference'!$A$6:$H$1245,8,FALSE()))))</f>
        <v>1645</v>
      </c>
      <c r="R46" s="525" t="n">
        <f aca="false">IF(ISTEXT(H46),"",(B46*$B$7/100)+(C46*$C$7/100))</f>
        <v>0.018</v>
      </c>
      <c r="S46" s="526" t="n">
        <f aca="false">IF(OR(ISTEXT(H46),R46=0),"",IF(R46&lt;0.1,1,IF(R46&lt;1,2,IF(R46&lt;10,3,IF(R46&lt;50,4,IF(R46&gt;=50,5,""))))))</f>
        <v>1</v>
      </c>
      <c r="T46" s="526" t="n">
        <f aca="false">IF(ISERROR(S46*J46),0,S46*J46)</f>
        <v>7</v>
      </c>
      <c r="U46" s="526" t="n">
        <f aca="false">IF(ISERROR(S46*J46*K46),0,S46*J46*K46)</f>
        <v>14</v>
      </c>
      <c r="V46" s="542" t="n">
        <f aca="false">IF(ISERROR(S46*K46),0,S46*K46)</f>
        <v>2</v>
      </c>
      <c r="W46" s="543"/>
      <c r="X46" s="544"/>
      <c r="Y46" s="529" t="str">
        <f aca="false">IF(AND(ISNUMBER(F46),OR(A46="",A46="!!!!!!")),"!!!!!!",IF(A46="new.cod","NEWCOD",IF(AND((Z46=""),ISTEXT(A46),A46&lt;&gt;"!!!!!!"),A46,IF(Z46="","",INDEX('liste reference'!$A$6:$A$1245,Z46)))))</f>
        <v>POTCRI</v>
      </c>
      <c r="Z46" s="511" t="n">
        <f aca="false">IF(ISERROR(MATCH(A46,'liste reference'!$A$6:$A$1245,0)),IF(ISERROR(MATCH(A46,'liste reference'!$B$6:$B$1245,0)),"",(MATCH(A46,'liste reference'!$B$6:$B$1245,0))),(MATCH(A46,'liste reference'!$A$6:$A$1245,0)))</f>
        <v>556</v>
      </c>
    </row>
    <row r="47" customFormat="false" ht="12.75" hidden="false" customHeight="false" outlineLevel="0" collapsed="false">
      <c r="A47" s="530" t="s">
        <v>1762</v>
      </c>
      <c r="B47" s="531" t="n">
        <v>0.1</v>
      </c>
      <c r="C47" s="532" t="n">
        <v>2</v>
      </c>
      <c r="D47" s="533" t="str">
        <f aca="false">IF(ISERROR(VLOOKUP($A47,'liste reference'!$A$6:$B$1245,2,0)),IF(ISERROR(VLOOKUP($A47,'liste reference'!$B$6:$B$1245,1,0)),"",VLOOKUP($A47,'liste reference'!$B$6:$B$1245,1,0)),VLOOKUP($A47,'liste reference'!$A$6:$B$1245,2,0))</f>
        <v>Potamogeton nodosus</v>
      </c>
      <c r="E47" s="534" t="e">
        <f aca="false">IF(D47="",0,VLOOKUP(D47,D$22:D46,1,0))</f>
        <v>#N/A</v>
      </c>
      <c r="F47" s="535" t="n">
        <f aca="false">IF(AND(OR(A47="",A47="!!!!!!"),B47="",C47=""),"",IF(OR(AND(B47="",C47=""),ISERROR(C47+B47)),"!!!",($B47*$B$7+$C47*$C$7)/100))</f>
        <v>1.81</v>
      </c>
      <c r="G47" s="536" t="str">
        <f aca="false">IF(A47="","",IF(ISERROR(VLOOKUP($A47,'liste reference'!$A$6:$Q$1245,9,0)),IF(ISERROR(VLOOKUP($A47,'liste reference'!$B$6:$Q$1245,8,0)),"    -",VLOOKUP($A47,'liste reference'!$B$6:$Q$1245,8,0)),VLOOKUP($A47,'liste reference'!$A$6:$Q$1245,9,0)))</f>
        <v>PHy</v>
      </c>
      <c r="H47" s="537" t="n">
        <f aca="false">IF(A47="","x",IF(ISERROR(VLOOKUP($A47,'liste reference'!$A$6:$Q$1245,10,0)),IF(ISERROR(VLOOKUP($A47,'liste reference'!$B$6:$Q$1245,9,0)),"x",VLOOKUP($A47,'liste reference'!$B$6:$Q$1245,9,0)),VLOOKUP($A47,'liste reference'!$A$6:$Q$1245,10,0)))</f>
        <v>7</v>
      </c>
      <c r="I47" s="321" t="n">
        <f aca="false">IF(A47="","",1)</f>
        <v>1</v>
      </c>
      <c r="J47" s="538" t="n">
        <f aca="false">IF(ISNUMBER($H47),IF(ISERROR(VLOOKUP($A47,'liste reference'!$A$6:$Q$1245,6,0)),IF(ISERROR(VLOOKUP($A47,'liste reference'!$B$6:$Q$1245,5,0)),"nu",VLOOKUP($A47,'liste reference'!$B$6:$Q$1245,5,0)),VLOOKUP($A47,'liste reference'!$A$6:$Q$1245,6,0)),"nu")</f>
        <v>4</v>
      </c>
      <c r="K47" s="538" t="n">
        <f aca="false">IF(ISNUMBER($H47),IF(ISERROR(VLOOKUP($A47,'liste reference'!$A$6:$Q$1245,7,0)),IF(ISERROR(VLOOKUP($A47,'liste reference'!$B$6:$Q$1245,6,0)),"nu",VLOOKUP($A47,'liste reference'!$B$6:$Q$1245,6,0)),VLOOKUP($A47,'liste reference'!$A$6:$Q$1245,7,0)),"nu")</f>
        <v>3</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Potamogeton nodosus</v>
      </c>
      <c r="M47" s="539"/>
      <c r="N47" s="539"/>
      <c r="O47" s="539"/>
      <c r="P47" s="540" t="s">
        <v>3619</v>
      </c>
      <c r="Q47" s="541" t="n">
        <f aca="false">IF(OR($A47="NEWCOD",$A47="!!!!!!"),IF(X47="","NoCod",X47),IF($A47="","",IF(ISERROR(VLOOKUP($A47,'liste reference'!$A$6:$H$1245,8,FALSE())),IF(ISERROR(VLOOKUP($A47,'liste reference'!$B$6:$H$1245,7,FALSE())),"",VLOOKUP($A47,'liste reference'!$B$6:$H$1245,7,FALSE())),VLOOKUP($A47,'liste reference'!$A$6:$H$1245,8,FALSE()))))</f>
        <v>1652</v>
      </c>
      <c r="R47" s="525" t="n">
        <f aca="false">IF(ISTEXT(H47),"",(B47*$B$7/100)+(C47*$C$7/100))</f>
        <v>1.81</v>
      </c>
      <c r="S47" s="526" t="n">
        <f aca="false">IF(OR(ISTEXT(H47),R47=0),"",IF(R47&lt;0.1,1,IF(R47&lt;1,2,IF(R47&lt;10,3,IF(R47&lt;50,4,IF(R47&gt;=50,5,""))))))</f>
        <v>3</v>
      </c>
      <c r="T47" s="526" t="n">
        <f aca="false">IF(ISERROR(S47*J47),0,S47*J47)</f>
        <v>12</v>
      </c>
      <c r="U47" s="526" t="n">
        <f aca="false">IF(ISERROR(S47*J47*K47),0,S47*J47*K47)</f>
        <v>36</v>
      </c>
      <c r="V47" s="542" t="n">
        <f aca="false">IF(ISERROR(S47*K47),0,S47*K47)</f>
        <v>9</v>
      </c>
      <c r="W47" s="543"/>
      <c r="X47" s="544"/>
      <c r="Y47" s="529" t="str">
        <f aca="false">IF(AND(ISNUMBER(F47),OR(A47="",A47="!!!!!!")),"!!!!!!",IF(A47="new.cod","NEWCOD",IF(AND((Z47=""),ISTEXT(A47),A47&lt;&gt;"!!!!!!"),A47,IF(Z47="","",INDEX('liste reference'!$A$6:$A$1245,Z47)))))</f>
        <v>POTNOD</v>
      </c>
      <c r="Z47" s="511" t="n">
        <f aca="false">IF(ISERROR(MATCH(A47,'liste reference'!$A$6:$A$1245,0)),IF(ISERROR(MATCH(A47,'liste reference'!$B$6:$B$1245,0)),"",(MATCH(A47,'liste reference'!$B$6:$B$1245,0))),(MATCH(A47,'liste reference'!$A$6:$A$1245,0)))</f>
        <v>567</v>
      </c>
    </row>
    <row r="48" customFormat="false" ht="12.75" hidden="false" customHeight="false" outlineLevel="0" collapsed="false">
      <c r="A48" s="530" t="s">
        <v>1782</v>
      </c>
      <c r="B48" s="531"/>
      <c r="C48" s="532" t="n">
        <v>0.005</v>
      </c>
      <c r="D48" s="533" t="str">
        <f aca="false">IF(ISERROR(VLOOKUP($A48,'liste reference'!$A$6:$B$1245,2,0)),IF(ISERROR(VLOOKUP($A48,'liste reference'!$B$6:$B$1245,1,0)),"",VLOOKUP($A48,'liste reference'!$B$6:$B$1245,1,0)),VLOOKUP($A48,'liste reference'!$A$6:$B$1245,2,0))</f>
        <v>Potamogeton pusillus</v>
      </c>
      <c r="E48" s="534" t="e">
        <f aca="false">IF(D48="",0,VLOOKUP(D48,D$22:D47,1,0))</f>
        <v>#N/A</v>
      </c>
      <c r="F48" s="535" t="n">
        <f aca="false">IF(AND(OR(A48="",A48="!!!!!!"),B48="",C48=""),"",IF(OR(AND(B48="",C48=""),ISERROR(C48+B48)),"!!!",($B48*$B$7+$C48*$C$7)/100))</f>
        <v>0.0045</v>
      </c>
      <c r="G48" s="536" t="str">
        <f aca="false">IF(A48="","",IF(ISERROR(VLOOKUP($A48,'liste reference'!$A$6:$Q$1245,9,0)),IF(ISERROR(VLOOKUP($A48,'liste reference'!$B$6:$Q$1245,8,0)),"    -",VLOOKUP($A48,'liste reference'!$B$6:$Q$1245,8,0)),VLOOKUP($A48,'liste reference'!$A$6:$Q$1245,9,0)))</f>
        <v>PHy</v>
      </c>
      <c r="H48" s="537" t="n">
        <f aca="false">IF(A48="","x",IF(ISERROR(VLOOKUP($A48,'liste reference'!$A$6:$Q$1245,10,0)),IF(ISERROR(VLOOKUP($A48,'liste reference'!$B$6:$Q$1245,9,0)),"x",VLOOKUP($A48,'liste reference'!$B$6:$Q$1245,9,0)),VLOOKUP($A48,'liste reference'!$A$6:$Q$1245,10,0)))</f>
        <v>7</v>
      </c>
      <c r="I48" s="321" t="n">
        <f aca="false">IF(A48="","",1)</f>
        <v>1</v>
      </c>
      <c r="J48" s="538" t="n">
        <f aca="false">IF(ISNUMBER($H48),IF(ISERROR(VLOOKUP($A48,'liste reference'!$A$6:$Q$1245,6,0)),IF(ISERROR(VLOOKUP($A48,'liste reference'!$B$6:$Q$1245,5,0)),"nu",VLOOKUP($A48,'liste reference'!$B$6:$Q$1245,5,0)),VLOOKUP($A48,'liste reference'!$A$6:$Q$1245,6,0)),"nu")</f>
        <v>9</v>
      </c>
      <c r="K48" s="538" t="n">
        <f aca="false">IF(ISNUMBER($H48),IF(ISERROR(VLOOKUP($A48,'liste reference'!$A$6:$Q$1245,7,0)),IF(ISERROR(VLOOKUP($A48,'liste reference'!$B$6:$Q$1245,6,0)),"nu",VLOOKUP($A48,'liste reference'!$B$6:$Q$1245,6,0)),VLOOKUP($A48,'liste reference'!$A$6:$Q$1245,7,0)),"nu")</f>
        <v>2</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Potamogeton pusillus</v>
      </c>
      <c r="M48" s="539"/>
      <c r="N48" s="539"/>
      <c r="O48" s="539"/>
      <c r="P48" s="540" t="s">
        <v>3619</v>
      </c>
      <c r="Q48" s="541" t="n">
        <f aca="false">IF(OR($A48="NEWCOD",$A48="!!!!!!"),IF(X48="","NoCod",X48),IF($A48="","",IF(ISERROR(VLOOKUP($A48,'liste reference'!$A$6:$H$1245,8,FALSE())),IF(ISERROR(VLOOKUP($A48,'liste reference'!$B$6:$H$1245,7,FALSE())),"",VLOOKUP($A48,'liste reference'!$B$6:$H$1245,7,FALSE())),VLOOKUP($A48,'liste reference'!$A$6:$H$1245,8,FALSE()))))</f>
        <v>1659</v>
      </c>
      <c r="R48" s="525" t="n">
        <f aca="false">IF(ISTEXT(H48),"",(B48*$B$7/100)+(C48*$C$7/100))</f>
        <v>0.0045</v>
      </c>
      <c r="S48" s="526" t="n">
        <f aca="false">IF(OR(ISTEXT(H48),R48=0),"",IF(R48&lt;0.1,1,IF(R48&lt;1,2,IF(R48&lt;10,3,IF(R48&lt;50,4,IF(R48&gt;=50,5,""))))))</f>
        <v>1</v>
      </c>
      <c r="T48" s="526" t="n">
        <f aca="false">IF(ISERROR(S48*J48),0,S48*J48)</f>
        <v>9</v>
      </c>
      <c r="U48" s="526" t="n">
        <f aca="false">IF(ISERROR(S48*J48*K48),0,S48*J48*K48)</f>
        <v>18</v>
      </c>
      <c r="V48" s="542" t="n">
        <f aca="false">IF(ISERROR(S48*K48),0,S48*K48)</f>
        <v>2</v>
      </c>
      <c r="W48" s="543"/>
      <c r="X48" s="544"/>
      <c r="Y48" s="529" t="str">
        <f aca="false">IF(AND(ISNUMBER(F48),OR(A48="",A48="!!!!!!")),"!!!!!!",IF(A48="new.cod","NEWCOD",IF(AND((Z48=""),ISTEXT(A48),A48&lt;&gt;"!!!!!!"),A48,IF(Z48="","",INDEX('liste reference'!$A$6:$A$1245,Z48)))))</f>
        <v>POTPUS</v>
      </c>
      <c r="Z48" s="511" t="n">
        <f aca="false">IF(ISERROR(MATCH(A48,'liste reference'!$A$6:$A$1245,0)),IF(ISERROR(MATCH(A48,'liste reference'!$B$6:$B$1245,0)),"",(MATCH(A48,'liste reference'!$B$6:$B$1245,0))),(MATCH(A48,'liste reference'!$A$6:$A$1245,0)))</f>
        <v>573</v>
      </c>
    </row>
    <row r="49" customFormat="false" ht="12.75" hidden="false" customHeight="false" outlineLevel="0" collapsed="false">
      <c r="A49" s="530" t="s">
        <v>1865</v>
      </c>
      <c r="B49" s="531" t="n">
        <v>0.5</v>
      </c>
      <c r="C49" s="532" t="n">
        <v>0.2</v>
      </c>
      <c r="D49" s="533" t="str">
        <f aca="false">IF(ISERROR(VLOOKUP($A49,'liste reference'!$A$6:$B$1245,2,0)),IF(ISERROR(VLOOKUP($A49,'liste reference'!$B$6:$B$1245,1,0)),"",VLOOKUP($A49,'liste reference'!$B$6:$B$1245,1,0)),VLOOKUP($A49,'liste reference'!$A$6:$B$1245,2,0))</f>
        <v>Ranunculus fluitans</v>
      </c>
      <c r="E49" s="534" t="e">
        <f aca="false">IF(D49="",0,VLOOKUP(D49,D$22:D48,1,0))</f>
        <v>#N/A</v>
      </c>
      <c r="F49" s="535" t="n">
        <f aca="false">IF(AND(OR(A49="",A49="!!!!!!"),B49="",C49=""),"",IF(OR(AND(B49="",C49=""),ISERROR(C49+B49)),"!!!",($B49*$B$7+$C49*$C$7)/100))</f>
        <v>0.23</v>
      </c>
      <c r="G49" s="536" t="str">
        <f aca="false">IF(A49="","",IF(ISERROR(VLOOKUP($A49,'liste reference'!$A$6:$Q$1245,9,0)),IF(ISERROR(VLOOKUP($A49,'liste reference'!$B$6:$Q$1245,8,0)),"    -",VLOOKUP($A49,'liste reference'!$B$6:$Q$1245,8,0)),VLOOKUP($A49,'liste reference'!$A$6:$Q$1245,9,0)))</f>
        <v>PHy</v>
      </c>
      <c r="H49" s="537" t="n">
        <f aca="false">IF(A49="","x",IF(ISERROR(VLOOKUP($A49,'liste reference'!$A$6:$Q$1245,10,0)),IF(ISERROR(VLOOKUP($A49,'liste reference'!$B$6:$Q$1245,9,0)),"x",VLOOKUP($A49,'liste reference'!$B$6:$Q$1245,9,0)),VLOOKUP($A49,'liste reference'!$A$6:$Q$1245,10,0)))</f>
        <v>7</v>
      </c>
      <c r="I49" s="321" t="n">
        <f aca="false">IF(A49="","",1)</f>
        <v>1</v>
      </c>
      <c r="J49" s="538" t="n">
        <f aca="false">IF(ISNUMBER($H49),IF(ISERROR(VLOOKUP($A49,'liste reference'!$A$6:$Q$1245,6,0)),IF(ISERROR(VLOOKUP($A49,'liste reference'!$B$6:$Q$1245,5,0)),"nu",VLOOKUP($A49,'liste reference'!$B$6:$Q$1245,5,0)),VLOOKUP($A49,'liste reference'!$A$6:$Q$1245,6,0)),"nu")</f>
        <v>10</v>
      </c>
      <c r="K49" s="538" t="n">
        <f aca="false">IF(ISNUMBER($H49),IF(ISERROR(VLOOKUP($A49,'liste reference'!$A$6:$Q$1245,7,0)),IF(ISERROR(VLOOKUP($A49,'liste reference'!$B$6:$Q$1245,6,0)),"nu",VLOOKUP($A49,'liste reference'!$B$6:$Q$1245,6,0)),VLOOKUP($A49,'liste reference'!$A$6:$Q$1245,7,0)),"nu")</f>
        <v>2</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Ranunculus fluitans</v>
      </c>
      <c r="M49" s="539"/>
      <c r="N49" s="539"/>
      <c r="O49" s="539"/>
      <c r="P49" s="540" t="s">
        <v>3639</v>
      </c>
      <c r="Q49" s="541" t="n">
        <f aca="false">IF(OR($A49="NEWCOD",$A49="!!!!!!"),IF(X49="","NoCod",X49),IF($A49="","",IF(ISERROR(VLOOKUP($A49,'liste reference'!$A$6:$H$1245,8,FALSE())),IF(ISERROR(VLOOKUP($A49,'liste reference'!$B$6:$H$1245,7,FALSE())),"",VLOOKUP($A49,'liste reference'!$B$6:$H$1245,7,FALSE())),VLOOKUP($A49,'liste reference'!$A$6:$H$1245,8,FALSE()))))</f>
        <v>1903</v>
      </c>
      <c r="R49" s="525" t="n">
        <f aca="false">IF(ISTEXT(H49),"",(B49*$B$7/100)+(C49*$C$7/100))</f>
        <v>0.23</v>
      </c>
      <c r="S49" s="526" t="n">
        <f aca="false">IF(OR(ISTEXT(H49),R49=0),"",IF(R49&lt;0.1,1,IF(R49&lt;1,2,IF(R49&lt;10,3,IF(R49&lt;50,4,IF(R49&gt;=50,5,""))))))</f>
        <v>2</v>
      </c>
      <c r="T49" s="526" t="n">
        <f aca="false">IF(ISERROR(S49*J49),0,S49*J49)</f>
        <v>20</v>
      </c>
      <c r="U49" s="526" t="n">
        <f aca="false">IF(ISERROR(S49*J49*K49),0,S49*J49*K49)</f>
        <v>40</v>
      </c>
      <c r="V49" s="542" t="n">
        <f aca="false">IF(ISERROR(S49*K49),0,S49*K49)</f>
        <v>4</v>
      </c>
      <c r="W49" s="543"/>
      <c r="X49" s="544"/>
      <c r="Y49" s="529" t="str">
        <f aca="false">IF(AND(ISNUMBER(F49),OR(A49="",A49="!!!!!!")),"!!!!!!",IF(A49="new.cod","NEWCOD",IF(AND((Z49=""),ISTEXT(A49),A49&lt;&gt;"!!!!!!"),A49,IF(Z49="","",INDEX('liste reference'!$A$6:$A$1245,Z49)))))</f>
        <v>RANFLU</v>
      </c>
      <c r="Z49" s="511" t="n">
        <f aca="false">IF(ISERROR(MATCH(A49,'liste reference'!$A$6:$A$1245,0)),IF(ISERROR(MATCH(A49,'liste reference'!$B$6:$B$1245,0)),"",(MATCH(A49,'liste reference'!$B$6:$B$1245,0))),(MATCH(A49,'liste reference'!$A$6:$A$1245,0)))</f>
        <v>603</v>
      </c>
    </row>
    <row r="50" customFormat="false" ht="12.75" hidden="false" customHeight="false" outlineLevel="0" collapsed="false">
      <c r="A50" s="530" t="s">
        <v>1906</v>
      </c>
      <c r="B50" s="531" t="n">
        <v>1.5</v>
      </c>
      <c r="C50" s="532" t="n">
        <v>0.6</v>
      </c>
      <c r="D50" s="533" t="str">
        <f aca="false">IF(ISERROR(VLOOKUP($A50,'liste reference'!$A$6:$B$1245,2,0)),IF(ISERROR(VLOOKUP($A50,'liste reference'!$B$6:$B$1245,1,0)),"",VLOOKUP($A50,'liste reference'!$B$6:$B$1245,1,0)),VLOOKUP($A50,'liste reference'!$A$6:$B$1245,2,0))</f>
        <v>Ranunculus trichophyllus</v>
      </c>
      <c r="E50" s="534" t="e">
        <f aca="false">IF(D50="",0,VLOOKUP(D50,D$22:D49,1,0))</f>
        <v>#N/A</v>
      </c>
      <c r="F50" s="535" t="n">
        <f aca="false">IF(AND(OR(A50="",A50="!!!!!!"),B50="",C50=""),"",IF(OR(AND(B50="",C50=""),ISERROR(C50+B50)),"!!!",($B50*$B$7+$C50*$C$7)/100))</f>
        <v>0.69</v>
      </c>
      <c r="G50" s="536" t="str">
        <f aca="false">IF(A50="","",IF(ISERROR(VLOOKUP($A50,'liste reference'!$A$6:$Q$1245,9,0)),IF(ISERROR(VLOOKUP($A50,'liste reference'!$B$6:$Q$1245,8,0)),"    -",VLOOKUP($A50,'liste reference'!$B$6:$Q$1245,8,0)),VLOOKUP($A50,'liste reference'!$A$6:$Q$1245,9,0)))</f>
        <v>PHy</v>
      </c>
      <c r="H50" s="537" t="n">
        <f aca="false">IF(A50="","x",IF(ISERROR(VLOOKUP($A50,'liste reference'!$A$6:$Q$1245,10,0)),IF(ISERROR(VLOOKUP($A50,'liste reference'!$B$6:$Q$1245,9,0)),"x",VLOOKUP($A50,'liste reference'!$B$6:$Q$1245,9,0)),VLOOKUP($A50,'liste reference'!$A$6:$Q$1245,10,0)))</f>
        <v>7</v>
      </c>
      <c r="I50" s="321" t="n">
        <f aca="false">IF(A50="","",1)</f>
        <v>1</v>
      </c>
      <c r="J50" s="538" t="n">
        <f aca="false">IF(ISNUMBER($H50),IF(ISERROR(VLOOKUP($A50,'liste reference'!$A$6:$Q$1245,6,0)),IF(ISERROR(VLOOKUP($A50,'liste reference'!$B$6:$Q$1245,5,0)),"nu",VLOOKUP($A50,'liste reference'!$B$6:$Q$1245,5,0)),VLOOKUP($A50,'liste reference'!$A$6:$Q$1245,6,0)),"nu")</f>
        <v>11</v>
      </c>
      <c r="K50" s="538" t="n">
        <f aca="false">IF(ISNUMBER($H50),IF(ISERROR(VLOOKUP($A50,'liste reference'!$A$6:$Q$1245,7,0)),IF(ISERROR(VLOOKUP($A50,'liste reference'!$B$6:$Q$1245,6,0)),"nu",VLOOKUP($A50,'liste reference'!$B$6:$Q$1245,6,0)),VLOOKUP($A50,'liste reference'!$A$6:$Q$1245,7,0)),"nu")</f>
        <v>2</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Ranunculus trichophyllus</v>
      </c>
      <c r="M50" s="539"/>
      <c r="N50" s="539"/>
      <c r="O50" s="539"/>
      <c r="P50" s="540" t="s">
        <v>3619</v>
      </c>
      <c r="Q50" s="541" t="n">
        <f aca="false">IF(OR($A50="NEWCOD",$A50="!!!!!!"),IF(X50="","NoCod",X50),IF($A50="","",IF(ISERROR(VLOOKUP($A50,'liste reference'!$A$6:$H$1245,8,FALSE())),IF(ISERROR(VLOOKUP($A50,'liste reference'!$B$6:$H$1245,7,FALSE())),"",VLOOKUP($A50,'liste reference'!$B$6:$H$1245,7,FALSE())),VLOOKUP($A50,'liste reference'!$A$6:$H$1245,8,FALSE()))))</f>
        <v>1914</v>
      </c>
      <c r="R50" s="525" t="n">
        <f aca="false">IF(ISTEXT(H50),"",(B50*$B$7/100)+(C50*$C$7/100))</f>
        <v>0.69</v>
      </c>
      <c r="S50" s="526" t="n">
        <f aca="false">IF(OR(ISTEXT(H50),R50=0),"",IF(R50&lt;0.1,1,IF(R50&lt;1,2,IF(R50&lt;10,3,IF(R50&lt;50,4,IF(R50&gt;=50,5,""))))))</f>
        <v>2</v>
      </c>
      <c r="T50" s="526" t="n">
        <f aca="false">IF(ISERROR(S50*J50),0,S50*J50)</f>
        <v>22</v>
      </c>
      <c r="U50" s="526" t="n">
        <f aca="false">IF(ISERROR(S50*J50*K50),0,S50*J50*K50)</f>
        <v>44</v>
      </c>
      <c r="V50" s="542" t="n">
        <f aca="false">IF(ISERROR(S50*K50),0,S50*K50)</f>
        <v>4</v>
      </c>
      <c r="W50" s="543"/>
      <c r="X50" s="544"/>
      <c r="Y50" s="529" t="str">
        <f aca="false">IF(AND(ISNUMBER(F50),OR(A50="",A50="!!!!!!")),"!!!!!!",IF(A50="new.cod","NEWCOD",IF(AND((Z50=""),ISTEXT(A50),A50&lt;&gt;"!!!!!!"),A50,IF(Z50="","",INDEX('liste reference'!$A$6:$A$1245,Z50)))))</f>
        <v>RANTRI</v>
      </c>
      <c r="Z50" s="511" t="n">
        <f aca="false">IF(ISERROR(MATCH(A50,'liste reference'!$A$6:$A$1245,0)),IF(ISERROR(MATCH(A50,'liste reference'!$B$6:$B$1245,0)),"",(MATCH(A50,'liste reference'!$B$6:$B$1245,0))),(MATCH(A50,'liste reference'!$A$6:$A$1245,0)))</f>
        <v>619</v>
      </c>
    </row>
    <row r="51" customFormat="false" ht="12.75" hidden="false" customHeight="false" outlineLevel="0" collapsed="false">
      <c r="A51" s="530" t="s">
        <v>1980</v>
      </c>
      <c r="B51" s="531"/>
      <c r="C51" s="532" t="n">
        <v>0.005</v>
      </c>
      <c r="D51" s="533" t="str">
        <f aca="false">IF(ISERROR(VLOOKUP($A51,'liste reference'!$A$6:$B$1245,2,0)),IF(ISERROR(VLOOKUP($A51,'liste reference'!$B$6:$B$1245,1,0)),"",VLOOKUP($A51,'liste reference'!$B$6:$B$1245,1,0)),VLOOKUP($A51,'liste reference'!$A$6:$B$1245,2,0))</f>
        <v>Sparganium sp.</v>
      </c>
      <c r="E51" s="534" t="e">
        <f aca="false">IF(D51="",0,VLOOKUP(D51,D$22:D50,1,0))</f>
        <v>#N/A</v>
      </c>
      <c r="F51" s="535" t="n">
        <f aca="false">IF(AND(OR(A51="",A51="!!!!!!"),B51="",C51=""),"",IF(OR(AND(B51="",C51=""),ISERROR(C51+B51)),"!!!",($B51*$B$7+$C51*$C$7)/100))</f>
        <v>0.0045</v>
      </c>
      <c r="G51" s="536" t="str">
        <f aca="false">IF(A51="","",IF(ISERROR(VLOOKUP($A51,'liste reference'!$A$6:$Q$1245,9,0)),IF(ISERROR(VLOOKUP($A51,'liste reference'!$B$6:$Q$1245,8,0)),"    -",VLOOKUP($A51,'liste reference'!$B$6:$Q$1245,8,0)),VLOOKUP($A51,'liste reference'!$A$6:$Q$1245,9,0)))</f>
        <v>PHy</v>
      </c>
      <c r="H51" s="537" t="n">
        <f aca="false">IF(A51="","x",IF(ISERROR(VLOOKUP($A51,'liste reference'!$A$6:$Q$1245,10,0)),IF(ISERROR(VLOOKUP($A51,'liste reference'!$B$6:$Q$1245,9,0)),"x",VLOOKUP($A51,'liste reference'!$B$6:$Q$1245,9,0)),VLOOKUP($A51,'liste reference'!$A$6:$Q$1245,10,0)))</f>
        <v>7</v>
      </c>
      <c r="I51" s="321" t="n">
        <f aca="false">IF(A51="","",1)</f>
        <v>1</v>
      </c>
      <c r="J51" s="538" t="str">
        <f aca="false">IF(ISNUMBER($H51),IF(ISERROR(VLOOKUP($A51,'liste reference'!$A$6:$Q$1245,6,0)),IF(ISERROR(VLOOKUP($A51,'liste reference'!$B$6:$Q$1245,5,0)),"nu",VLOOKUP($A51,'liste reference'!$B$6:$Q$1245,5,0)),VLOOKUP($A51,'liste reference'!$A$6:$Q$1245,6,0)),"nu")</f>
        <v>nc</v>
      </c>
      <c r="K51" s="538" t="str">
        <f aca="false">IF(ISNUMBER($H51),IF(ISERROR(VLOOKUP($A51,'liste reference'!$A$6:$Q$1245,7,0)),IF(ISERROR(VLOOKUP($A51,'liste reference'!$B$6:$Q$1245,6,0)),"nu",VLOOKUP($A51,'liste reference'!$B$6:$Q$1245,6,0)),VLOOKUP($A51,'liste reference'!$A$6:$Q$1245,7,0)),"nu")</f>
        <v>nc</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Sparganium sp.</v>
      </c>
      <c r="M51" s="539"/>
      <c r="N51" s="539"/>
      <c r="O51" s="539"/>
      <c r="P51" s="540" t="s">
        <v>3619</v>
      </c>
      <c r="Q51" s="541" t="n">
        <f aca="false">IF(OR($A51="NEWCOD",$A51="!!!!!!"),IF(X51="","NoCod",X51),IF($A51="","",IF(ISERROR(VLOOKUP($A51,'liste reference'!$A$6:$H$1245,8,FALSE())),IF(ISERROR(VLOOKUP($A51,'liste reference'!$B$6:$H$1245,7,FALSE())),"",VLOOKUP($A51,'liste reference'!$B$6:$H$1245,7,FALSE())),VLOOKUP($A51,'liste reference'!$A$6:$H$1245,8,FALSE()))))</f>
        <v>1668</v>
      </c>
      <c r="R51" s="525" t="n">
        <f aca="false">IF(ISTEXT(H51),"",(B51*$B$7/100)+(C51*$C$7/100))</f>
        <v>0.0045</v>
      </c>
      <c r="S51" s="526" t="n">
        <f aca="false">IF(OR(ISTEXT(H51),R51=0),"",IF(R51&lt;0.1,1,IF(R51&lt;1,2,IF(R51&lt;10,3,IF(R51&lt;50,4,IF(R51&gt;=50,5,""))))))</f>
        <v>1</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SPASPX</v>
      </c>
      <c r="Z51" s="511" t="n">
        <f aca="false">IF(ISERROR(MATCH(A51,'liste reference'!$A$6:$A$1245,0)),IF(ISERROR(MATCH(A51,'liste reference'!$B$6:$B$1245,0)),"",(MATCH(A51,'liste reference'!$B$6:$B$1245,0))),(MATCH(A51,'liste reference'!$A$6:$A$1245,0)))</f>
        <v>648</v>
      </c>
    </row>
    <row r="52" customFormat="false" ht="12.75" hidden="false" customHeight="false" outlineLevel="0" collapsed="false">
      <c r="A52" s="530" t="s">
        <v>2050</v>
      </c>
      <c r="B52" s="531" t="n">
        <v>2</v>
      </c>
      <c r="C52" s="532" t="n">
        <v>0.5</v>
      </c>
      <c r="D52" s="533" t="str">
        <f aca="false">IF(ISERROR(VLOOKUP($A52,'liste reference'!$A$6:$B$1245,2,0)),IF(ISERROR(VLOOKUP($A52,'liste reference'!$B$6:$B$1245,1,0)),"",VLOOKUP($A52,'liste reference'!$B$6:$B$1245,1,0)),VLOOKUP($A52,'liste reference'!$A$6:$B$1245,2,0))</f>
        <v>Agrostis stolonifera</v>
      </c>
      <c r="E52" s="534" t="e">
        <f aca="false">IF(D52="",0,VLOOKUP(D52,D$22:D51,1,0))</f>
        <v>#N/A</v>
      </c>
      <c r="F52" s="535" t="n">
        <f aca="false">IF(AND(OR(A52="",A52="!!!!!!"),B52="",C52=""),"",IF(OR(AND(B52="",C52=""),ISERROR(C52+B52)),"!!!",($B52*$B$7+$C52*$C$7)/100))</f>
        <v>0.65</v>
      </c>
      <c r="G52" s="536" t="str">
        <f aca="false">IF(A52="","",IF(ISERROR(VLOOKUP($A52,'liste reference'!$A$6:$Q$1245,9,0)),IF(ISERROR(VLOOKUP($A52,'liste reference'!$B$6:$Q$1245,8,0)),"    -",VLOOKUP($A52,'liste reference'!$B$6:$Q$1245,8,0)),VLOOKUP($A52,'liste reference'!$A$6:$Q$1245,9,0)))</f>
        <v>PHe</v>
      </c>
      <c r="H52" s="537" t="n">
        <f aca="false">IF(A52="","x",IF(ISERROR(VLOOKUP($A52,'liste reference'!$A$6:$Q$1245,10,0)),IF(ISERROR(VLOOKUP($A52,'liste reference'!$B$6:$Q$1245,9,0)),"x",VLOOKUP($A52,'liste reference'!$B$6:$Q$1245,9,0)),VLOOKUP($A52,'liste reference'!$A$6:$Q$1245,10,0)))</f>
        <v>8</v>
      </c>
      <c r="I52" s="321" t="n">
        <f aca="false">IF(A52="","",1)</f>
        <v>1</v>
      </c>
      <c r="J52" s="538" t="n">
        <f aca="false">IF(ISNUMBER($H52),IF(ISERROR(VLOOKUP($A52,'liste reference'!$A$6:$Q$1245,6,0)),IF(ISERROR(VLOOKUP($A52,'liste reference'!$B$6:$Q$1245,5,0)),"nu",VLOOKUP($A52,'liste reference'!$B$6:$Q$1245,5,0)),VLOOKUP($A52,'liste reference'!$A$6:$Q$1245,6,0)),"nu")</f>
        <v>10</v>
      </c>
      <c r="K52" s="538" t="n">
        <f aca="false">IF(ISNUMBER($H52),IF(ISERROR(VLOOKUP($A52,'liste reference'!$A$6:$Q$1245,7,0)),IF(ISERROR(VLOOKUP($A52,'liste reference'!$B$6:$Q$1245,6,0)),"nu",VLOOKUP($A52,'liste reference'!$B$6:$Q$1245,6,0)),VLOOKUP($A52,'liste reference'!$A$6:$Q$1245,7,0)),"nu")</f>
        <v>1</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Agrostis stolonifera</v>
      </c>
      <c r="M52" s="539"/>
      <c r="N52" s="539"/>
      <c r="O52" s="539"/>
      <c r="P52" s="540" t="s">
        <v>3619</v>
      </c>
      <c r="Q52" s="541" t="n">
        <f aca="false">IF(OR($A52="NEWCOD",$A52="!!!!!!"),IF(X52="","NoCod",X52),IF($A52="","",IF(ISERROR(VLOOKUP($A52,'liste reference'!$A$6:$H$1245,8,FALSE())),IF(ISERROR(VLOOKUP($A52,'liste reference'!$B$6:$H$1245,7,FALSE())),"",VLOOKUP($A52,'liste reference'!$B$6:$H$1245,7,FALSE())),VLOOKUP($A52,'liste reference'!$A$6:$H$1245,8,FALSE()))))</f>
        <v>1543</v>
      </c>
      <c r="R52" s="525" t="n">
        <f aca="false">IF(ISTEXT(H52),"",(B52*$B$7/100)+(C52*$C$7/100))</f>
        <v>0.65</v>
      </c>
      <c r="S52" s="526" t="n">
        <f aca="false">IF(OR(ISTEXT(H52),R52=0),"",IF(R52&lt;0.1,1,IF(R52&lt;1,2,IF(R52&lt;10,3,IF(R52&lt;50,4,IF(R52&gt;=50,5,""))))))</f>
        <v>2</v>
      </c>
      <c r="T52" s="526" t="n">
        <f aca="false">IF(ISERROR(S52*J52),0,S52*J52)</f>
        <v>20</v>
      </c>
      <c r="U52" s="526" t="n">
        <f aca="false">IF(ISERROR(S52*J52*K52),0,S52*J52*K52)</f>
        <v>20</v>
      </c>
      <c r="V52" s="542" t="n">
        <f aca="false">IF(ISERROR(S52*K52),0,S52*K52)</f>
        <v>2</v>
      </c>
      <c r="W52" s="543"/>
      <c r="X52" s="544"/>
      <c r="Y52" s="529" t="str">
        <f aca="false">IF(AND(ISNUMBER(F52),OR(A52="",A52="!!!!!!")),"!!!!!!",IF(A52="new.cod","NEWCOD",IF(AND((Z52=""),ISTEXT(A52),A52&lt;&gt;"!!!!!!"),A52,IF(Z52="","",INDEX('liste reference'!$A$6:$A$1245,Z52)))))</f>
        <v>AGRSTO</v>
      </c>
      <c r="Z52" s="511" t="n">
        <f aca="false">IF(ISERROR(MATCH(A52,'liste reference'!$A$6:$A$1245,0)),IF(ISERROR(MATCH(A52,'liste reference'!$B$6:$B$1245,0)),"",(MATCH(A52,'liste reference'!$B$6:$B$1245,0))),(MATCH(A52,'liste reference'!$A$6:$A$1245,0)))</f>
        <v>674</v>
      </c>
    </row>
    <row r="53" customFormat="false" ht="12.75" hidden="false" customHeight="false" outlineLevel="0" collapsed="false">
      <c r="A53" s="530" t="s">
        <v>2293</v>
      </c>
      <c r="B53" s="531" t="n">
        <v>0.25</v>
      </c>
      <c r="C53" s="532" t="n">
        <v>0.07</v>
      </c>
      <c r="D53" s="533" t="str">
        <f aca="false">IF(ISERROR(VLOOKUP($A53,'liste reference'!$A$6:$B$1245,2,0)),IF(ISERROR(VLOOKUP($A53,'liste reference'!$B$6:$B$1245,1,0)),"",VLOOKUP($A53,'liste reference'!$B$6:$B$1245,1,0)),VLOOKUP($A53,'liste reference'!$A$6:$B$1245,2,0))</f>
        <v>Mentha aquatica</v>
      </c>
      <c r="E53" s="534" t="e">
        <f aca="false">IF(D53="",0,VLOOKUP(D53,D$22:D52,1,0))</f>
        <v>#N/A</v>
      </c>
      <c r="F53" s="535" t="n">
        <f aca="false">IF(AND(OR(A53="",A53="!!!!!!"),B53="",C53=""),"",IF(OR(AND(B53="",C53=""),ISERROR(C53+B53)),"!!!",($B53*$B$7+$C53*$C$7)/100))</f>
        <v>0.088</v>
      </c>
      <c r="G53" s="536" t="str">
        <f aca="false">IF(A53="","",IF(ISERROR(VLOOKUP($A53,'liste reference'!$A$6:$Q$1245,9,0)),IF(ISERROR(VLOOKUP($A53,'liste reference'!$B$6:$Q$1245,8,0)),"    -",VLOOKUP($A53,'liste reference'!$B$6:$Q$1245,8,0)),VLOOKUP($A53,'liste reference'!$A$6:$Q$1245,9,0)))</f>
        <v>PHe</v>
      </c>
      <c r="H53" s="537" t="n">
        <f aca="false">IF(A53="","x",IF(ISERROR(VLOOKUP($A53,'liste reference'!$A$6:$Q$1245,10,0)),IF(ISERROR(VLOOKUP($A53,'liste reference'!$B$6:$Q$1245,9,0)),"x",VLOOKUP($A53,'liste reference'!$B$6:$Q$1245,9,0)),VLOOKUP($A53,'liste reference'!$A$6:$Q$1245,10,0)))</f>
        <v>8</v>
      </c>
      <c r="I53" s="321" t="n">
        <f aca="false">IF(A53="","",1)</f>
        <v>1</v>
      </c>
      <c r="J53" s="538" t="n">
        <f aca="false">IF(ISNUMBER($H53),IF(ISERROR(VLOOKUP($A53,'liste reference'!$A$6:$Q$1245,6,0)),IF(ISERROR(VLOOKUP($A53,'liste reference'!$B$6:$Q$1245,5,0)),"nu",VLOOKUP($A53,'liste reference'!$B$6:$Q$1245,5,0)),VLOOKUP($A53,'liste reference'!$A$6:$Q$1245,6,0)),"nu")</f>
        <v>12</v>
      </c>
      <c r="K53" s="538" t="n">
        <f aca="false">IF(ISNUMBER($H53),IF(ISERROR(VLOOKUP($A53,'liste reference'!$A$6:$Q$1245,7,0)),IF(ISERROR(VLOOKUP($A53,'liste reference'!$B$6:$Q$1245,6,0)),"nu",VLOOKUP($A53,'liste reference'!$B$6:$Q$1245,6,0)),VLOOKUP($A53,'liste reference'!$A$6:$Q$1245,7,0)),"nu")</f>
        <v>1</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Mentha aquatica</v>
      </c>
      <c r="M53" s="539"/>
      <c r="N53" s="539"/>
      <c r="O53" s="539"/>
      <c r="P53" s="540" t="s">
        <v>3619</v>
      </c>
      <c r="Q53" s="541" t="n">
        <f aca="false">IF(OR($A53="NEWCOD",$A53="!!!!!!"),IF(X53="","NoCod",X53),IF($A53="","",IF(ISERROR(VLOOKUP($A53,'liste reference'!$A$6:$H$1245,8,FALSE())),IF(ISERROR(VLOOKUP($A53,'liste reference'!$B$6:$H$1245,7,FALSE())),"",VLOOKUP($A53,'liste reference'!$B$6:$H$1245,7,FALSE())),VLOOKUP($A53,'liste reference'!$A$6:$H$1245,8,FALSE()))))</f>
        <v>1791</v>
      </c>
      <c r="R53" s="525" t="n">
        <f aca="false">IF(ISTEXT(H53),"",(B53*$B$7/100)+(C53*$C$7/100))</f>
        <v>0.088</v>
      </c>
      <c r="S53" s="526" t="n">
        <f aca="false">IF(OR(ISTEXT(H53),R53=0),"",IF(R53&lt;0.1,1,IF(R53&lt;1,2,IF(R53&lt;10,3,IF(R53&lt;50,4,IF(R53&gt;=50,5,""))))))</f>
        <v>1</v>
      </c>
      <c r="T53" s="526" t="n">
        <f aca="false">IF(ISERROR(S53*J53),0,S53*J53)</f>
        <v>12</v>
      </c>
      <c r="U53" s="526" t="n">
        <f aca="false">IF(ISERROR(S53*J53*K53),0,S53*J53*K53)</f>
        <v>12</v>
      </c>
      <c r="V53" s="542" t="n">
        <f aca="false">IF(ISERROR(S53*K53),0,S53*K53)</f>
        <v>1</v>
      </c>
      <c r="W53" s="543"/>
      <c r="X53" s="544"/>
      <c r="Y53" s="529" t="str">
        <f aca="false">IF(AND(ISNUMBER(F53),OR(A53="",A53="!!!!!!")),"!!!!!!",IF(A53="new.cod","NEWCOD",IF(AND((Z53=""),ISTEXT(A53),A53&lt;&gt;"!!!!!!"),A53,IF(Z53="","",INDEX('liste reference'!$A$6:$A$1245,Z53)))))</f>
        <v>MENAQU</v>
      </c>
      <c r="Z53" s="511" t="n">
        <f aca="false">IF(ISERROR(MATCH(A53,'liste reference'!$A$6:$A$1245,0)),IF(ISERROR(MATCH(A53,'liste reference'!$B$6:$B$1245,0)),"",(MATCH(A53,'liste reference'!$B$6:$B$1245,0))),(MATCH(A53,'liste reference'!$A$6:$A$1245,0)))</f>
        <v>756</v>
      </c>
    </row>
    <row r="54" customFormat="false" ht="12.75" hidden="false" customHeight="false" outlineLevel="0" collapsed="false">
      <c r="A54" s="530" t="s">
        <v>2334</v>
      </c>
      <c r="B54" s="531" t="n">
        <v>0.1</v>
      </c>
      <c r="C54" s="532" t="n">
        <v>0.1</v>
      </c>
      <c r="D54" s="533" t="str">
        <f aca="false">IF(ISERROR(VLOOKUP($A54,'liste reference'!$A$6:$B$1245,2,0)),IF(ISERROR(VLOOKUP($A54,'liste reference'!$B$6:$B$1245,1,0)),"",VLOOKUP($A54,'liste reference'!$B$6:$B$1245,1,0)),VLOOKUP($A54,'liste reference'!$A$6:$B$1245,2,0))</f>
        <v>Nasturtium officinale</v>
      </c>
      <c r="E54" s="534" t="e">
        <f aca="false">IF(D54="",0,VLOOKUP(D54,D$22:D53,1,0))</f>
        <v>#N/A</v>
      </c>
      <c r="F54" s="535" t="n">
        <f aca="false">IF(AND(OR(A54="",A54="!!!!!!"),B54="",C54=""),"",IF(OR(AND(B54="",C54=""),ISERROR(C54+B54)),"!!!",($B54*$B$7+$C54*$C$7)/100))</f>
        <v>0.1</v>
      </c>
      <c r="G54" s="536" t="str">
        <f aca="false">IF(A54="","",IF(ISERROR(VLOOKUP($A54,'liste reference'!$A$6:$Q$1245,9,0)),IF(ISERROR(VLOOKUP($A54,'liste reference'!$B$6:$Q$1245,8,0)),"    -",VLOOKUP($A54,'liste reference'!$B$6:$Q$1245,8,0)),VLOOKUP($A54,'liste reference'!$A$6:$Q$1245,9,0)))</f>
        <v>PHe</v>
      </c>
      <c r="H54" s="537" t="n">
        <f aca="false">IF(A54="","x",IF(ISERROR(VLOOKUP($A54,'liste reference'!$A$6:$Q$1245,10,0)),IF(ISERROR(VLOOKUP($A54,'liste reference'!$B$6:$Q$1245,9,0)),"x",VLOOKUP($A54,'liste reference'!$B$6:$Q$1245,9,0)),VLOOKUP($A54,'liste reference'!$A$6:$Q$1245,10,0)))</f>
        <v>8</v>
      </c>
      <c r="I54" s="321" t="n">
        <f aca="false">IF(A54="","",1)</f>
        <v>1</v>
      </c>
      <c r="J54" s="538" t="n">
        <f aca="false">IF(ISNUMBER($H54),IF(ISERROR(VLOOKUP($A54,'liste reference'!$A$6:$Q$1245,6,0)),IF(ISERROR(VLOOKUP($A54,'liste reference'!$B$6:$Q$1245,5,0)),"nu",VLOOKUP($A54,'liste reference'!$B$6:$Q$1245,5,0)),VLOOKUP($A54,'liste reference'!$A$6:$Q$1245,6,0)),"nu")</f>
        <v>11</v>
      </c>
      <c r="K54" s="538" t="n">
        <f aca="false">IF(ISNUMBER($H54),IF(ISERROR(VLOOKUP($A54,'liste reference'!$A$6:$Q$1245,7,0)),IF(ISERROR(VLOOKUP($A54,'liste reference'!$B$6:$Q$1245,6,0)),"nu",VLOOKUP($A54,'liste reference'!$B$6:$Q$1245,6,0)),VLOOKUP($A54,'liste reference'!$A$6:$Q$1245,7,0)),"nu")</f>
        <v>1</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Nasturtium officinale</v>
      </c>
      <c r="M54" s="539"/>
      <c r="N54" s="539"/>
      <c r="O54" s="539"/>
      <c r="P54" s="540" t="s">
        <v>3619</v>
      </c>
      <c r="Q54" s="541" t="n">
        <f aca="false">IF(OR($A54="NEWCOD",$A54="!!!!!!"),IF(X54="","NoCod",X54),IF($A54="","",IF(ISERROR(VLOOKUP($A54,'liste reference'!$A$6:$H$1245,8,FALSE())),IF(ISERROR(VLOOKUP($A54,'liste reference'!$B$6:$H$1245,7,FALSE())),"",VLOOKUP($A54,'liste reference'!$B$6:$H$1245,7,FALSE())),VLOOKUP($A54,'liste reference'!$A$6:$H$1245,8,FALSE()))))</f>
        <v>1763</v>
      </c>
      <c r="R54" s="525" t="n">
        <f aca="false">IF(ISTEXT(H54),"",(B54*$B$7/100)+(C54*$C$7/100))</f>
        <v>0.1</v>
      </c>
      <c r="S54" s="526" t="n">
        <f aca="false">IF(OR(ISTEXT(H54),R54=0),"",IF(R54&lt;0.1,1,IF(R54&lt;1,2,IF(R54&lt;10,3,IF(R54&lt;50,4,IF(R54&gt;=50,5,""))))))</f>
        <v>2</v>
      </c>
      <c r="T54" s="526" t="n">
        <f aca="false">IF(ISERROR(S54*J54),0,S54*J54)</f>
        <v>22</v>
      </c>
      <c r="U54" s="526" t="n">
        <f aca="false">IF(ISERROR(S54*J54*K54),0,S54*J54*K54)</f>
        <v>22</v>
      </c>
      <c r="V54" s="542" t="n">
        <f aca="false">IF(ISERROR(S54*K54),0,S54*K54)</f>
        <v>2</v>
      </c>
      <c r="W54" s="543"/>
      <c r="X54" s="544"/>
      <c r="Y54" s="529" t="str">
        <f aca="false">IF(AND(ISNUMBER(F54),OR(A54="",A54="!!!!!!")),"!!!!!!",IF(A54="new.cod","NEWCOD",IF(AND((Z54=""),ISTEXT(A54),A54&lt;&gt;"!!!!!!"),A54,IF(Z54="","",INDEX('liste reference'!$A$6:$A$1245,Z54)))))</f>
        <v>NASOFF</v>
      </c>
      <c r="Z54" s="511" t="n">
        <f aca="false">IF(ISERROR(MATCH(A54,'liste reference'!$A$6:$A$1245,0)),IF(ISERROR(MATCH(A54,'liste reference'!$B$6:$B$1245,0)),"",(MATCH(A54,'liste reference'!$B$6:$B$1245,0))),(MATCH(A54,'liste reference'!$A$6:$A$1245,0)))</f>
        <v>770</v>
      </c>
    </row>
    <row r="55" customFormat="false" ht="12.75" hidden="false" customHeight="false" outlineLevel="0" collapsed="false">
      <c r="A55" s="530" t="s">
        <v>2393</v>
      </c>
      <c r="B55" s="531" t="n">
        <v>0.005</v>
      </c>
      <c r="C55" s="532"/>
      <c r="D55" s="533" t="str">
        <f aca="false">IF(ISERROR(VLOOKUP($A55,'liste reference'!$A$6:$B$1245,2,0)),IF(ISERROR(VLOOKUP($A55,'liste reference'!$B$6:$B$1245,1,0)),"",VLOOKUP($A55,'liste reference'!$B$6:$B$1245,1,0)),VLOOKUP($A55,'liste reference'!$A$6:$B$1245,2,0))</f>
        <v>Schoenoplectus lacustris</v>
      </c>
      <c r="E55" s="534" t="e">
        <f aca="false">IF(D55="",0,VLOOKUP(D55,D$22:D54,1,0))</f>
        <v>#N/A</v>
      </c>
      <c r="F55" s="535" t="n">
        <f aca="false">IF(AND(OR(A55="",A55="!!!!!!"),B55="",C55=""),"",IF(OR(AND(B55="",C55=""),ISERROR(C55+B55)),"!!!",($B55*$B$7+$C55*$C$7)/100))</f>
        <v>0.0005</v>
      </c>
      <c r="G55" s="536" t="str">
        <f aca="false">IF(A55="","",IF(ISERROR(VLOOKUP($A55,'liste reference'!$A$6:$Q$1245,9,0)),IF(ISERROR(VLOOKUP($A55,'liste reference'!$B$6:$Q$1245,8,0)),"    -",VLOOKUP($A55,'liste reference'!$B$6:$Q$1245,8,0)),VLOOKUP($A55,'liste reference'!$A$6:$Q$1245,9,0)))</f>
        <v>PHe</v>
      </c>
      <c r="H55" s="537" t="n">
        <f aca="false">IF(A55="","x",IF(ISERROR(VLOOKUP($A55,'liste reference'!$A$6:$Q$1245,10,0)),IF(ISERROR(VLOOKUP($A55,'liste reference'!$B$6:$Q$1245,9,0)),"x",VLOOKUP($A55,'liste reference'!$B$6:$Q$1245,9,0)),VLOOKUP($A55,'liste reference'!$A$6:$Q$1245,10,0)))</f>
        <v>8</v>
      </c>
      <c r="I55" s="321" t="n">
        <f aca="false">IF(A55="","",1)</f>
        <v>1</v>
      </c>
      <c r="J55" s="538" t="n">
        <f aca="false">IF(ISNUMBER($H55),IF(ISERROR(VLOOKUP($A55,'liste reference'!$A$6:$Q$1245,6,0)),IF(ISERROR(VLOOKUP($A55,'liste reference'!$B$6:$Q$1245,5,0)),"nu",VLOOKUP($A55,'liste reference'!$B$6:$Q$1245,5,0)),VLOOKUP($A55,'liste reference'!$A$6:$Q$1245,6,0)),"nu")</f>
        <v>8</v>
      </c>
      <c r="K55" s="538" t="n">
        <f aca="false">IF(ISNUMBER($H55),IF(ISERROR(VLOOKUP($A55,'liste reference'!$A$6:$Q$1245,7,0)),IF(ISERROR(VLOOKUP($A55,'liste reference'!$B$6:$Q$1245,6,0)),"nu",VLOOKUP($A55,'liste reference'!$B$6:$Q$1245,6,0)),VLOOKUP($A55,'liste reference'!$A$6:$Q$1245,7,0)),"nu")</f>
        <v>2</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Schoenoplectus lacustris</v>
      </c>
      <c r="M55" s="539"/>
      <c r="N55" s="539"/>
      <c r="O55" s="539"/>
      <c r="P55" s="540" t="s">
        <v>3619</v>
      </c>
      <c r="Q55" s="541" t="n">
        <f aca="false">IF(OR($A55="NEWCOD",$A55="!!!!!!"),IF(X55="","NoCod",X55),IF($A55="","",IF(ISERROR(VLOOKUP($A55,'liste reference'!$A$6:$H$1245,8,FALSE())),IF(ISERROR(VLOOKUP($A55,'liste reference'!$B$6:$H$1245,7,FALSE())),"",VLOOKUP($A55,'liste reference'!$B$6:$H$1245,7,FALSE())),VLOOKUP($A55,'liste reference'!$A$6:$H$1245,8,FALSE()))))</f>
        <v>31026</v>
      </c>
      <c r="R55" s="525" t="n">
        <f aca="false">IF(ISTEXT(H55),"",(B55*$B$7/100)+(C55*$C$7/100))</f>
        <v>0.0005</v>
      </c>
      <c r="S55" s="526" t="n">
        <f aca="false">IF(OR(ISTEXT(H55),R55=0),"",IF(R55&lt;0.1,1,IF(R55&lt;1,2,IF(R55&lt;10,3,IF(R55&lt;50,4,IF(R55&gt;=50,5,""))))))</f>
        <v>1</v>
      </c>
      <c r="T55" s="526" t="n">
        <f aca="false">IF(ISERROR(S55*J55),0,S55*J55)</f>
        <v>8</v>
      </c>
      <c r="U55" s="526" t="n">
        <f aca="false">IF(ISERROR(S55*J55*K55),0,S55*J55*K55)</f>
        <v>16</v>
      </c>
      <c r="V55" s="542" t="n">
        <f aca="false">IF(ISERROR(S55*K55),0,S55*K55)</f>
        <v>2</v>
      </c>
      <c r="W55" s="543"/>
      <c r="X55" s="544"/>
      <c r="Y55" s="529" t="str">
        <f aca="false">IF(AND(ISNUMBER(F55),OR(A55="",A55="!!!!!!")),"!!!!!!",IF(A55="new.cod","NEWCOD",IF(AND((Z55=""),ISTEXT(A55),A55&lt;&gt;"!!!!!!"),A55,IF(Z55="","",INDEX('liste reference'!$A$6:$A$1245,Z55)))))</f>
        <v>SCNLAC</v>
      </c>
      <c r="Z55" s="511" t="n">
        <f aca="false">IF(ISERROR(MATCH(A55,'liste reference'!$A$6:$A$1245,0)),IF(ISERROR(MATCH(A55,'liste reference'!$B$6:$B$1245,0)),"",(MATCH(A55,'liste reference'!$B$6:$B$1245,0))),(MATCH(A55,'liste reference'!$A$6:$A$1245,0)))</f>
        <v>793</v>
      </c>
    </row>
    <row r="56" customFormat="false" ht="12.75" hidden="false" customHeight="false" outlineLevel="0" collapsed="false">
      <c r="A56" s="530" t="s">
        <v>2452</v>
      </c>
      <c r="B56" s="531"/>
      <c r="C56" s="532" t="n">
        <v>0.005</v>
      </c>
      <c r="D56" s="533" t="str">
        <f aca="false">IF(ISERROR(VLOOKUP($A56,'liste reference'!$A$6:$B$1245,2,0)),IF(ISERROR(VLOOKUP($A56,'liste reference'!$B$6:$B$1245,1,0)),"",VLOOKUP($A56,'liste reference'!$B$6:$B$1245,1,0)),VLOOKUP($A56,'liste reference'!$A$6:$B$1245,2,0))</f>
        <v>Typha sp.</v>
      </c>
      <c r="E56" s="534" t="e">
        <f aca="false">IF(D56="",0,VLOOKUP(D56,D$22:D55,1,0))</f>
        <v>#N/A</v>
      </c>
      <c r="F56" s="535" t="n">
        <f aca="false">IF(AND(OR(A56="",A56="!!!!!!"),B56="",C56=""),"",IF(OR(AND(B56="",C56=""),ISERROR(C56+B56)),"!!!",($B56*$B$7+$C56*$C$7)/100))</f>
        <v>0.0045</v>
      </c>
      <c r="G56" s="536" t="str">
        <f aca="false">IF(A56="","",IF(ISERROR(VLOOKUP($A56,'liste reference'!$A$6:$Q$1245,9,0)),IF(ISERROR(VLOOKUP($A56,'liste reference'!$B$6:$Q$1245,8,0)),"    -",VLOOKUP($A56,'liste reference'!$B$6:$Q$1245,8,0)),VLOOKUP($A56,'liste reference'!$A$6:$Q$1245,9,0)))</f>
        <v>PHe</v>
      </c>
      <c r="H56" s="537" t="n">
        <f aca="false">IF(A56="","x",IF(ISERROR(VLOOKUP($A56,'liste reference'!$A$6:$Q$1245,10,0)),IF(ISERROR(VLOOKUP($A56,'liste reference'!$B$6:$Q$1245,9,0)),"x",VLOOKUP($A56,'liste reference'!$B$6:$Q$1245,9,0)),VLOOKUP($A56,'liste reference'!$A$6:$Q$1245,10,0)))</f>
        <v>8</v>
      </c>
      <c r="I56" s="321" t="n">
        <f aca="false">IF(A56="","",1)</f>
        <v>1</v>
      </c>
      <c r="J56" s="538" t="str">
        <f aca="false">IF(ISNUMBER($H56),IF(ISERROR(VLOOKUP($A56,'liste reference'!$A$6:$Q$1245,6,0)),IF(ISERROR(VLOOKUP($A56,'liste reference'!$B$6:$Q$1245,5,0)),"nu",VLOOKUP($A56,'liste reference'!$B$6:$Q$1245,5,0)),VLOOKUP($A56,'liste reference'!$A$6:$Q$1245,6,0)),"nu")</f>
        <v>nc</v>
      </c>
      <c r="K56" s="538" t="str">
        <f aca="false">IF(ISNUMBER($H56),IF(ISERROR(VLOOKUP($A56,'liste reference'!$A$6:$Q$1245,7,0)),IF(ISERROR(VLOOKUP($A56,'liste reference'!$B$6:$Q$1245,6,0)),"nu",VLOOKUP($A56,'liste reference'!$B$6:$Q$1245,6,0)),VLOOKUP($A56,'liste reference'!$A$6:$Q$1245,7,0)),"nu")</f>
        <v>nc</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Typha sp.</v>
      </c>
      <c r="M56" s="545"/>
      <c r="N56" s="545"/>
      <c r="O56" s="545"/>
      <c r="P56" s="540" t="s">
        <v>3619</v>
      </c>
      <c r="Q56" s="541" t="n">
        <f aca="false">IF(OR($A56="NEWCOD",$A56="!!!!!!"),IF(X56="","NoCod",X56),IF($A56="","",IF(ISERROR(VLOOKUP($A56,'liste reference'!$A$6:$H$1245,8,FALSE())),IF(ISERROR(VLOOKUP($A56,'liste reference'!$B$6:$H$1245,7,FALSE())),"",VLOOKUP($A56,'liste reference'!$B$6:$H$1245,7,FALSE())),VLOOKUP($A56,'liste reference'!$A$6:$H$1245,8,FALSE()))))</f>
        <v>1674</v>
      </c>
      <c r="R56" s="525" t="n">
        <f aca="false">IF(ISTEXT(H56),"",(B56*$B$7/100)+(C56*$C$7/100))</f>
        <v>0.0045</v>
      </c>
      <c r="S56" s="526" t="n">
        <f aca="false">IF(OR(ISTEXT(H56),R56=0),"",IF(R56&lt;0.1,1,IF(R56&lt;1,2,IF(R56&lt;10,3,IF(R56&lt;50,4,IF(R56&gt;=50,5,""))))))</f>
        <v>1</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TYPSPX</v>
      </c>
      <c r="Z56" s="511" t="n">
        <f aca="false">IF(ISERROR(MATCH(A56,'liste reference'!$A$6:$A$1245,0)),IF(ISERROR(MATCH(A56,'liste reference'!$B$6:$B$1245,0)),"",(MATCH(A56,'liste reference'!$B$6:$B$1245,0))),(MATCH(A56,'liste reference'!$A$6:$A$1245,0)))</f>
        <v>814</v>
      </c>
    </row>
    <row r="57" customFormat="false" ht="12.75" hidden="false" customHeight="false" outlineLevel="0" collapsed="false">
      <c r="A57" s="530" t="s">
        <v>2454</v>
      </c>
      <c r="B57" s="531" t="n">
        <v>0.2</v>
      </c>
      <c r="C57" s="532" t="n">
        <v>0.3</v>
      </c>
      <c r="D57" s="533" t="str">
        <f aca="false">IF(ISERROR(VLOOKUP($A57,'liste reference'!$A$6:$B$1245,2,0)),IF(ISERROR(VLOOKUP($A57,'liste reference'!$B$6:$B$1245,1,0)),"",VLOOKUP($A57,'liste reference'!$B$6:$B$1245,1,0)),VLOOKUP($A57,'liste reference'!$A$6:$B$1245,2,0))</f>
        <v>Veronica anagallis-aquatica</v>
      </c>
      <c r="E57" s="534" t="e">
        <f aca="false">IF(D57="",0,VLOOKUP(D57,D$22:D56,1,0))</f>
        <v>#N/A</v>
      </c>
      <c r="F57" s="535" t="n">
        <f aca="false">IF(AND(OR(A57="",A57="!!!!!!"),B57="",C57=""),"",IF(OR(AND(B57="",C57=""),ISERROR(C57+B57)),"!!!",($B57*$B$7+$C57*$C$7)/100))</f>
        <v>0.29</v>
      </c>
      <c r="G57" s="536" t="str">
        <f aca="false">IF(A57="","",IF(ISERROR(VLOOKUP($A57,'liste reference'!$A$6:$Q$1245,9,0)),IF(ISERROR(VLOOKUP($A57,'liste reference'!$B$6:$Q$1245,8,0)),"    -",VLOOKUP($A57,'liste reference'!$B$6:$Q$1245,8,0)),VLOOKUP($A57,'liste reference'!$A$6:$Q$1245,9,0)))</f>
        <v>PHe</v>
      </c>
      <c r="H57" s="537" t="n">
        <f aca="false">IF(A57="","x",IF(ISERROR(VLOOKUP($A57,'liste reference'!$A$6:$Q$1245,10,0)),IF(ISERROR(VLOOKUP($A57,'liste reference'!$B$6:$Q$1245,9,0)),"x",VLOOKUP($A57,'liste reference'!$B$6:$Q$1245,9,0)),VLOOKUP($A57,'liste reference'!$A$6:$Q$1245,10,0)))</f>
        <v>8</v>
      </c>
      <c r="I57" s="321" t="n">
        <f aca="false">IF(A57="","",1)</f>
        <v>1</v>
      </c>
      <c r="J57" s="538" t="n">
        <f aca="false">IF(ISNUMBER($H57),IF(ISERROR(VLOOKUP($A57,'liste reference'!$A$6:$Q$1245,6,0)),IF(ISERROR(VLOOKUP($A57,'liste reference'!$B$6:$Q$1245,5,0)),"nu",VLOOKUP($A57,'liste reference'!$B$6:$Q$1245,5,0)),VLOOKUP($A57,'liste reference'!$A$6:$Q$1245,6,0)),"nu")</f>
        <v>11</v>
      </c>
      <c r="K57" s="538" t="n">
        <f aca="false">IF(ISNUMBER($H57),IF(ISERROR(VLOOKUP($A57,'liste reference'!$A$6:$Q$1245,7,0)),IF(ISERROR(VLOOKUP($A57,'liste reference'!$B$6:$Q$1245,6,0)),"nu",VLOOKUP($A57,'liste reference'!$B$6:$Q$1245,6,0)),VLOOKUP($A57,'liste reference'!$A$6:$Q$1245,7,0)),"nu")</f>
        <v>2</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Veronica anagallis-aquatica</v>
      </c>
      <c r="M57" s="539"/>
      <c r="N57" s="539"/>
      <c r="O57" s="539"/>
      <c r="P57" s="540" t="s">
        <v>3619</v>
      </c>
      <c r="Q57" s="541" t="n">
        <f aca="false">IF(OR($A57="NEWCOD",$A57="!!!!!!"),IF(X57="","NoCod",X57),IF($A57="","",IF(ISERROR(VLOOKUP($A57,'liste reference'!$A$6:$H$1245,8,FALSE())),IF(ISERROR(VLOOKUP($A57,'liste reference'!$B$6:$H$1245,7,FALSE())),"",VLOOKUP($A57,'liste reference'!$B$6:$H$1245,7,FALSE())),VLOOKUP($A57,'liste reference'!$A$6:$H$1245,8,FALSE()))))</f>
        <v>1955</v>
      </c>
      <c r="R57" s="525" t="n">
        <f aca="false">IF(ISTEXT(H57),"",(B57*$B$7/100)+(C57*$C$7/100))</f>
        <v>0.29</v>
      </c>
      <c r="S57" s="526" t="n">
        <f aca="false">IF(OR(ISTEXT(H57),R57=0),"",IF(R57&lt;0.1,1,IF(R57&lt;1,2,IF(R57&lt;10,3,IF(R57&lt;50,4,IF(R57&gt;=50,5,""))))))</f>
        <v>2</v>
      </c>
      <c r="T57" s="526" t="n">
        <f aca="false">IF(ISERROR(S57*J57),0,S57*J57)</f>
        <v>22</v>
      </c>
      <c r="U57" s="526" t="n">
        <f aca="false">IF(ISERROR(S57*J57*K57),0,S57*J57*K57)</f>
        <v>44</v>
      </c>
      <c r="V57" s="542" t="n">
        <f aca="false">IF(ISERROR(S57*K57),0,S57*K57)</f>
        <v>4</v>
      </c>
      <c r="W57" s="543"/>
      <c r="X57" s="544"/>
      <c r="Y57" s="529" t="str">
        <f aca="false">IF(AND(ISNUMBER(F57),OR(A57="",A57="!!!!!!")),"!!!!!!",IF(A57="new.cod","NEWCOD",IF(AND((Z57=""),ISTEXT(A57),A57&lt;&gt;"!!!!!!"),A57,IF(Z57="","",INDEX('liste reference'!$A$6:$A$1245,Z57)))))</f>
        <v>VERANA</v>
      </c>
      <c r="Z57" s="511" t="n">
        <f aca="false">IF(ISERROR(MATCH(A57,'liste reference'!$A$6:$A$1245,0)),IF(ISERROR(MATCH(A57,'liste reference'!$B$6:$B$1245,0)),"",(MATCH(A57,'liste reference'!$B$6:$B$1245,0))),(MATCH(A57,'liste reference'!$A$6:$A$1245,0)))</f>
        <v>815</v>
      </c>
    </row>
    <row r="58" customFormat="false" ht="12.75" hidden="false" customHeight="false" outlineLevel="0" collapsed="false">
      <c r="A58" s="530" t="s">
        <v>2504</v>
      </c>
      <c r="B58" s="531"/>
      <c r="C58" s="532" t="n">
        <v>0.005</v>
      </c>
      <c r="D58" s="533" t="str">
        <f aca="false">IF(ISERROR(VLOOKUP($A58,'liste reference'!$A$6:$B$1245,2,0)),IF(ISERROR(VLOOKUP($A58,'liste reference'!$B$6:$B$1245,1,0)),"",VLOOKUP($A58,'liste reference'!$B$6:$B$1245,1,0)),VLOOKUP($A58,'liste reference'!$A$6:$B$1245,2,0))</f>
        <v>Bidens frondosa</v>
      </c>
      <c r="E58" s="534" t="e">
        <f aca="false">IF(D58="",0,VLOOKUP(D58,D$22:D57,1,0))</f>
        <v>#N/A</v>
      </c>
      <c r="F58" s="535" t="n">
        <f aca="false">IF(AND(OR(A58="",A58="!!!!!!"),B58="",C58=""),"",IF(OR(AND(B58="",C58=""),ISERROR(C58+B58)),"!!!",($B58*$B$7+$C58*$C$7)/100))</f>
        <v>0.0045</v>
      </c>
      <c r="G58" s="536" t="str">
        <f aca="false">IF(A58="","",IF(ISERROR(VLOOKUP($A58,'liste reference'!$A$6:$Q$1245,9,0)),IF(ISERROR(VLOOKUP($A58,'liste reference'!$B$6:$Q$1245,8,0)),"    -",VLOOKUP($A58,'liste reference'!$B$6:$Q$1245,8,0)),VLOOKUP($A58,'liste reference'!$A$6:$Q$1245,9,0)))</f>
        <v>PHg</v>
      </c>
      <c r="H58" s="537" t="n">
        <f aca="false">IF(A58="","x",IF(ISERROR(VLOOKUP($A58,'liste reference'!$A$6:$Q$1245,10,0)),IF(ISERROR(VLOOKUP($A58,'liste reference'!$B$6:$Q$1245,9,0)),"x",VLOOKUP($A58,'liste reference'!$B$6:$Q$1245,9,0)),VLOOKUP($A58,'liste reference'!$A$6:$Q$1245,10,0)))</f>
        <v>9</v>
      </c>
      <c r="I58" s="321" t="n">
        <f aca="false">IF(A58="","",1)</f>
        <v>1</v>
      </c>
      <c r="J58" s="538" t="str">
        <f aca="false">IF(ISNUMBER($H58),IF(ISERROR(VLOOKUP($A58,'liste reference'!$A$6:$Q$1245,6,0)),IF(ISERROR(VLOOKUP($A58,'liste reference'!$B$6:$Q$1245,5,0)),"nu",VLOOKUP($A58,'liste reference'!$B$6:$Q$1245,5,0)),VLOOKUP($A58,'liste reference'!$A$6:$Q$1245,6,0)),"nu")</f>
        <v>nc</v>
      </c>
      <c r="K58" s="538" t="str">
        <f aca="false">IF(ISNUMBER($H58),IF(ISERROR(VLOOKUP($A58,'liste reference'!$A$6:$Q$1245,7,0)),IF(ISERROR(VLOOKUP($A58,'liste reference'!$B$6:$Q$1245,6,0)),"nu",VLOOKUP($A58,'liste reference'!$B$6:$Q$1245,6,0)),VLOOKUP($A58,'liste reference'!$A$6:$Q$1245,7,0)),"nu")</f>
        <v>nc</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Bidens frondosa</v>
      </c>
      <c r="M58" s="539"/>
      <c r="N58" s="539"/>
      <c r="O58" s="539"/>
      <c r="P58" s="540" t="s">
        <v>3619</v>
      </c>
      <c r="Q58" s="541" t="n">
        <f aca="false">IF(OR($A58="NEWCOD",$A58="!!!!!!"),IF(X58="","NoCod",X58),IF($A58="","",IF(ISERROR(VLOOKUP($A58,'liste reference'!$A$6:$H$1245,8,FALSE())),IF(ISERROR(VLOOKUP($A58,'liste reference'!$B$6:$H$1245,7,FALSE())),"",VLOOKUP($A58,'liste reference'!$B$6:$H$1245,7,FALSE())),VLOOKUP($A58,'liste reference'!$A$6:$H$1245,8,FALSE()))))</f>
        <v>1727</v>
      </c>
      <c r="R58" s="525" t="n">
        <f aca="false">IF(ISTEXT(H58),"",(B58*$B$7/100)+(C58*$C$7/100))</f>
        <v>0.0045</v>
      </c>
      <c r="S58" s="526" t="n">
        <f aca="false">IF(OR(ISTEXT(H58),R58=0),"",IF(R58&lt;0.1,1,IF(R58&lt;1,2,IF(R58&lt;10,3,IF(R58&lt;50,4,IF(R58&gt;=50,5,""))))))</f>
        <v>1</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BIDFRO</v>
      </c>
      <c r="Z58" s="511" t="n">
        <f aca="false">IF(ISERROR(MATCH(A58,'liste reference'!$A$6:$A$1245,0)),IF(ISERROR(MATCH(A58,'liste reference'!$B$6:$B$1245,0)),"",(MATCH(A58,'liste reference'!$B$6:$B$1245,0))),(MATCH(A58,'liste reference'!$A$6:$A$1245,0)))</f>
        <v>836</v>
      </c>
    </row>
    <row r="59" customFormat="false" ht="12.75" hidden="false" customHeight="false" outlineLevel="0" collapsed="false">
      <c r="A59" s="530" t="s">
        <v>2636</v>
      </c>
      <c r="B59" s="531"/>
      <c r="C59" s="532" t="n">
        <v>0.005</v>
      </c>
      <c r="D59" s="533" t="str">
        <f aca="false">IF(ISERROR(VLOOKUP($A59,'liste reference'!$A$6:$B$1245,2,0)),IF(ISERROR(VLOOKUP($A59,'liste reference'!$B$6:$B$1245,1,0)),"",VLOOKUP($A59,'liste reference'!$B$6:$B$1245,1,0)),VLOOKUP($A59,'liste reference'!$A$6:$B$1245,2,0))</f>
        <v>Cyperus eragrostis</v>
      </c>
      <c r="E59" s="534" t="e">
        <f aca="false">IF(D59="",0,VLOOKUP(D59,D$22:D58,1,0))</f>
        <v>#N/A</v>
      </c>
      <c r="F59" s="535" t="n">
        <f aca="false">IF(AND(OR(A59="",A59="!!!!!!"),B59="",C59=""),"",IF(OR(AND(B59="",C59=""),ISERROR(C59+B59)),"!!!",($B59*$B$7+$C59*$C$7)/100))</f>
        <v>0.0045</v>
      </c>
      <c r="G59" s="536" t="str">
        <f aca="false">IF(A59="","",IF(ISERROR(VLOOKUP($A59,'liste reference'!$A$6:$Q$1245,9,0)),IF(ISERROR(VLOOKUP($A59,'liste reference'!$B$6:$Q$1245,8,0)),"    -",VLOOKUP($A59,'liste reference'!$B$6:$Q$1245,8,0)),VLOOKUP($A59,'liste reference'!$A$6:$Q$1245,9,0)))</f>
        <v>PHg</v>
      </c>
      <c r="H59" s="537" t="n">
        <f aca="false">IF(A59="","x",IF(ISERROR(VLOOKUP($A59,'liste reference'!$A$6:$Q$1245,10,0)),IF(ISERROR(VLOOKUP($A59,'liste reference'!$B$6:$Q$1245,9,0)),"x",VLOOKUP($A59,'liste reference'!$B$6:$Q$1245,9,0)),VLOOKUP($A59,'liste reference'!$A$6:$Q$1245,10,0)))</f>
        <v>9</v>
      </c>
      <c r="I59" s="321" t="n">
        <f aca="false">IF(A59="","",1)</f>
        <v>1</v>
      </c>
      <c r="J59" s="538" t="str">
        <f aca="false">IF(ISNUMBER($H59),IF(ISERROR(VLOOKUP($A59,'liste reference'!$A$6:$Q$1245,6,0)),IF(ISERROR(VLOOKUP($A59,'liste reference'!$B$6:$Q$1245,5,0)),"nu",VLOOKUP($A59,'liste reference'!$B$6:$Q$1245,5,0)),VLOOKUP($A59,'liste reference'!$A$6:$Q$1245,6,0)),"nu")</f>
        <v>nc</v>
      </c>
      <c r="K59" s="538" t="str">
        <f aca="false">IF(ISNUMBER($H59),IF(ISERROR(VLOOKUP($A59,'liste reference'!$A$6:$Q$1245,7,0)),IF(ISERROR(VLOOKUP($A59,'liste reference'!$B$6:$Q$1245,6,0)),"nu",VLOOKUP($A59,'liste reference'!$B$6:$Q$1245,6,0)),VLOOKUP($A59,'liste reference'!$A$6:$Q$1245,7,0)),"nu")</f>
        <v>nc</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Cyperus eragrostis</v>
      </c>
      <c r="M59" s="539"/>
      <c r="N59" s="539"/>
      <c r="O59" s="539"/>
      <c r="P59" s="540" t="s">
        <v>3619</v>
      </c>
      <c r="Q59" s="541" t="n">
        <f aca="false">IF(OR($A59="NEWCOD",$A59="!!!!!!"),IF(X59="","NoCod",X59),IF($A59="","",IF(ISERROR(VLOOKUP($A59,'liste reference'!$A$6:$H$1245,8,FALSE())),IF(ISERROR(VLOOKUP($A59,'liste reference'!$B$6:$H$1245,7,FALSE())),"",VLOOKUP($A59,'liste reference'!$B$6:$H$1245,7,FALSE())),VLOOKUP($A59,'liste reference'!$A$6:$H$1245,8,FALSE()))))</f>
        <v>19611</v>
      </c>
      <c r="R59" s="525" t="n">
        <f aca="false">IF(ISTEXT(H59),"",(B59*$B$7/100)+(C59*$C$7/100))</f>
        <v>0.0045</v>
      </c>
      <c r="S59" s="526" t="n">
        <f aca="false">IF(OR(ISTEXT(H59),R59=0),"",IF(R59&lt;0.1,1,IF(R59&lt;1,2,IF(R59&lt;10,3,IF(R59&lt;50,4,IF(R59&gt;=50,5,""))))))</f>
        <v>1</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CYPERA</v>
      </c>
      <c r="Z59" s="511" t="n">
        <f aca="false">IF(ISERROR(MATCH(A59,'liste reference'!$A$6:$A$1245,0)),IF(ISERROR(MATCH(A59,'liste reference'!$B$6:$B$1245,0)),"",(MATCH(A59,'liste reference'!$B$6:$B$1245,0))),(MATCH(A59,'liste reference'!$A$6:$A$1245,0)))</f>
        <v>889</v>
      </c>
    </row>
    <row r="60" customFormat="false" ht="12.75" hidden="false" customHeight="false" outlineLevel="0" collapsed="false">
      <c r="A60" s="530" t="s">
        <v>2774</v>
      </c>
      <c r="B60" s="531"/>
      <c r="C60" s="532" t="n">
        <v>0.005</v>
      </c>
      <c r="D60" s="533" t="str">
        <f aca="false">IF(ISERROR(VLOOKUP($A60,'liste reference'!$A$6:$B$1245,2,0)),IF(ISERROR(VLOOKUP($A60,'liste reference'!$B$6:$B$1245,1,0)),"",VLOOKUP($A60,'liste reference'!$B$6:$B$1245,1,0)),VLOOKUP($A60,'liste reference'!$A$6:$B$1245,2,0))</f>
        <v>Juncus articulatus</v>
      </c>
      <c r="E60" s="534" t="e">
        <f aca="false">IF(D60="",0,VLOOKUP(D60,D$22:D59,1,0))</f>
        <v>#N/A</v>
      </c>
      <c r="F60" s="535" t="n">
        <f aca="false">IF(AND(OR(A60="",A60="!!!!!!"),B60="",C60=""),"",IF(OR(AND(B60="",C60=""),ISERROR(C60+B60)),"!!!",($B60*$B$7+$C60*$C$7)/100))</f>
        <v>0.0045</v>
      </c>
      <c r="G60" s="536" t="str">
        <f aca="false">IF(A60="","",IF(ISERROR(VLOOKUP($A60,'liste reference'!$A$6:$Q$1245,9,0)),IF(ISERROR(VLOOKUP($A60,'liste reference'!$B$6:$Q$1245,8,0)),"    -",VLOOKUP($A60,'liste reference'!$B$6:$Q$1245,8,0)),VLOOKUP($A60,'liste reference'!$A$6:$Q$1245,9,0)))</f>
        <v>PHg</v>
      </c>
      <c r="H60" s="537" t="n">
        <f aca="false">IF(A60="","x",IF(ISERROR(VLOOKUP($A60,'liste reference'!$A$6:$Q$1245,10,0)),IF(ISERROR(VLOOKUP($A60,'liste reference'!$B$6:$Q$1245,9,0)),"x",VLOOKUP($A60,'liste reference'!$B$6:$Q$1245,9,0)),VLOOKUP($A60,'liste reference'!$A$6:$Q$1245,10,0)))</f>
        <v>9</v>
      </c>
      <c r="I60" s="321" t="n">
        <f aca="false">IF(A60="","",1)</f>
        <v>1</v>
      </c>
      <c r="J60" s="538" t="str">
        <f aca="false">IF(ISNUMBER($H60),IF(ISERROR(VLOOKUP($A60,'liste reference'!$A$6:$Q$1245,6,0)),IF(ISERROR(VLOOKUP($A60,'liste reference'!$B$6:$Q$1245,5,0)),"nu",VLOOKUP($A60,'liste reference'!$B$6:$Q$1245,5,0)),VLOOKUP($A60,'liste reference'!$A$6:$Q$1245,6,0)),"nu")</f>
        <v>nc</v>
      </c>
      <c r="K60" s="538" t="str">
        <f aca="false">IF(ISNUMBER($H60),IF(ISERROR(VLOOKUP($A60,'liste reference'!$A$6:$Q$1245,7,0)),IF(ISERROR(VLOOKUP($A60,'liste reference'!$B$6:$Q$1245,6,0)),"nu",VLOOKUP($A60,'liste reference'!$B$6:$Q$1245,6,0)),VLOOKUP($A60,'liste reference'!$A$6:$Q$1245,7,0)),"nu")</f>
        <v>nc</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Juncus articulatus</v>
      </c>
      <c r="M60" s="539"/>
      <c r="N60" s="539"/>
      <c r="O60" s="539"/>
      <c r="P60" s="540" t="s">
        <v>3619</v>
      </c>
      <c r="Q60" s="541" t="n">
        <f aca="false">IF(OR($A60="NEWCOD",$A60="!!!!!!"),IF(X60="","NoCod",X60),IF($A60="","",IF(ISERROR(VLOOKUP($A60,'liste reference'!$A$6:$H$1245,8,FALSE())),IF(ISERROR(VLOOKUP($A60,'liste reference'!$B$6:$H$1245,7,FALSE())),"",VLOOKUP($A60,'liste reference'!$B$6:$H$1245,7,FALSE())),VLOOKUP($A60,'liste reference'!$A$6:$H$1245,8,FALSE()))))</f>
        <v>1609</v>
      </c>
      <c r="R60" s="525" t="n">
        <f aca="false">IF(ISTEXT(H60),"",(B60*$B$7/100)+(C60*$C$7/100))</f>
        <v>0.0045</v>
      </c>
      <c r="S60" s="526" t="n">
        <f aca="false">IF(OR(ISTEXT(H60),R60=0),"",IF(R60&lt;0.1,1,IF(R60&lt;1,2,IF(R60&lt;10,3,IF(R60&lt;50,4,IF(R60&gt;=50,5,""))))))</f>
        <v>1</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JUNART</v>
      </c>
      <c r="Z60" s="511" t="n">
        <f aca="false">IF(ISERROR(MATCH(A60,'liste reference'!$A$6:$A$1245,0)),IF(ISERROR(MATCH(A60,'liste reference'!$B$6:$B$1245,0)),"",(MATCH(A60,'liste reference'!$B$6:$B$1245,0))),(MATCH(A60,'liste reference'!$A$6:$A$1245,0)))</f>
        <v>940</v>
      </c>
    </row>
    <row r="61" customFormat="false" ht="12.75" hidden="false" customHeight="false" outlineLevel="0" collapsed="false">
      <c r="A61" s="530" t="s">
        <v>2808</v>
      </c>
      <c r="B61" s="531"/>
      <c r="C61" s="532" t="n">
        <v>0.005</v>
      </c>
      <c r="D61" s="533" t="str">
        <f aca="false">IF(ISERROR(VLOOKUP($A61,'liste reference'!$A$6:$B$1245,2,0)),IF(ISERROR(VLOOKUP($A61,'liste reference'!$B$6:$B$1245,1,0)),"",VLOOKUP($A61,'liste reference'!$B$6:$B$1245,1,0)),VLOOKUP($A61,'liste reference'!$A$6:$B$1245,2,0))</f>
        <v>Leersia oryzoides</v>
      </c>
      <c r="E61" s="534" t="e">
        <f aca="false">IF(D61="",0,VLOOKUP(D61,D$22:D60,1,0))</f>
        <v>#N/A</v>
      </c>
      <c r="F61" s="535" t="n">
        <f aca="false">IF(AND(OR(A61="",A61="!!!!!!"),B61="",C61=""),"",IF(OR(AND(B61="",C61=""),ISERROR(C61+B61)),"!!!",($B61*$B$7+$C61*$C$7)/100))</f>
        <v>0.0045</v>
      </c>
      <c r="G61" s="536" t="str">
        <f aca="false">IF(A61="","",IF(ISERROR(VLOOKUP($A61,'liste reference'!$A$6:$Q$1245,9,0)),IF(ISERROR(VLOOKUP($A61,'liste reference'!$B$6:$Q$1245,8,0)),"    -",VLOOKUP($A61,'liste reference'!$B$6:$Q$1245,8,0)),VLOOKUP($A61,'liste reference'!$A$6:$Q$1245,9,0)))</f>
        <v>PHg</v>
      </c>
      <c r="H61" s="537" t="n">
        <f aca="false">IF(A61="","x",IF(ISERROR(VLOOKUP($A61,'liste reference'!$A$6:$Q$1245,10,0)),IF(ISERROR(VLOOKUP($A61,'liste reference'!$B$6:$Q$1245,9,0)),"x",VLOOKUP($A61,'liste reference'!$B$6:$Q$1245,9,0)),VLOOKUP($A61,'liste reference'!$A$6:$Q$1245,10,0)))</f>
        <v>9</v>
      </c>
      <c r="I61" s="321" t="n">
        <f aca="false">IF(A61="","",1)</f>
        <v>1</v>
      </c>
      <c r="J61" s="538" t="str">
        <f aca="false">IF(ISNUMBER($H61),IF(ISERROR(VLOOKUP($A61,'liste reference'!$A$6:$Q$1245,6,0)),IF(ISERROR(VLOOKUP($A61,'liste reference'!$B$6:$Q$1245,5,0)),"nu",VLOOKUP($A61,'liste reference'!$B$6:$Q$1245,5,0)),VLOOKUP($A61,'liste reference'!$A$6:$Q$1245,6,0)),"nu")</f>
        <v>nc</v>
      </c>
      <c r="K61" s="538" t="str">
        <f aca="false">IF(ISNUMBER($H61),IF(ISERROR(VLOOKUP($A61,'liste reference'!$A$6:$Q$1245,7,0)),IF(ISERROR(VLOOKUP($A61,'liste reference'!$B$6:$Q$1245,6,0)),"nu",VLOOKUP($A61,'liste reference'!$B$6:$Q$1245,6,0)),VLOOKUP($A61,'liste reference'!$A$6:$Q$1245,7,0)),"nu")</f>
        <v>nc</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Leersia oryzoides</v>
      </c>
      <c r="M61" s="539"/>
      <c r="N61" s="539"/>
      <c r="O61" s="539"/>
      <c r="P61" s="540" t="s">
        <v>3619</v>
      </c>
      <c r="Q61" s="541" t="n">
        <f aca="false">IF(OR($A61="NEWCOD",$A61="!!!!!!"),IF(X61="","NoCod",X61),IF($A61="","",IF(ISERROR(VLOOKUP($A61,'liste reference'!$A$6:$H$1245,8,FALSE())),IF(ISERROR(VLOOKUP($A61,'liste reference'!$B$6:$H$1245,7,FALSE())),"",VLOOKUP($A61,'liste reference'!$B$6:$H$1245,7,FALSE())),VLOOKUP($A61,'liste reference'!$A$6:$H$1245,8,FALSE()))))</f>
        <v>1569</v>
      </c>
      <c r="R61" s="525" t="n">
        <f aca="false">IF(ISTEXT(H61),"",(B61*$B$7/100)+(C61*$C$7/100))</f>
        <v>0.0045</v>
      </c>
      <c r="S61" s="526" t="n">
        <f aca="false">IF(OR(ISTEXT(H61),R61=0),"",IF(R61&lt;0.1,1,IF(R61&lt;1,2,IF(R61&lt;10,3,IF(R61&lt;50,4,IF(R61&gt;=50,5,""))))))</f>
        <v>1</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LEEORY</v>
      </c>
      <c r="Z61" s="511" t="n">
        <f aca="false">IF(ISERROR(MATCH(A61,'liste reference'!$A$6:$A$1245,0)),IF(ISERROR(MATCH(A61,'liste reference'!$B$6:$B$1245,0)),"",(MATCH(A61,'liste reference'!$B$6:$B$1245,0))),(MATCH(A61,'liste reference'!$A$6:$A$1245,0)))</f>
        <v>952</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false" customHeight="false" outlineLevel="0" collapsed="false">
      <c r="A63" s="530" t="s">
        <v>2853</v>
      </c>
      <c r="B63" s="531"/>
      <c r="C63" s="532" t="n">
        <v>0.005</v>
      </c>
      <c r="D63" s="533" t="str">
        <f aca="false">IF(ISERROR(VLOOKUP($A63,'liste reference'!$A$6:$B$1245,2,0)),IF(ISERROR(VLOOKUP($A63,'liste reference'!$B$6:$B$1245,1,0)),"",VLOOKUP($A63,'liste reference'!$B$6:$B$1245,1,0)),VLOOKUP($A63,'liste reference'!$A$6:$B$1245,2,0))</f>
        <v>Lysimachia vulgaris</v>
      </c>
      <c r="E63" s="534" t="e">
        <f aca="false">IF(D63="",0,VLOOKUP(D63,D$22:D62,1,0))</f>
        <v>#N/A</v>
      </c>
      <c r="F63" s="535" t="n">
        <f aca="false">IF(AND(OR(A63="",A63="!!!!!!"),B63="",C63=""),"",IF(OR(AND(B63="",C63=""),ISERROR(C63+B63)),"!!!",($B63*$B$7+$C63*$C$7)/100))</f>
        <v>0.0045</v>
      </c>
      <c r="G63" s="536" t="str">
        <f aca="false">IF(A63="","",IF(ISERROR(VLOOKUP($A63,'liste reference'!$A$6:$Q$1245,9,0)),IF(ISERROR(VLOOKUP($A63,'liste reference'!$B$6:$Q$1245,8,0)),"    -",VLOOKUP($A63,'liste reference'!$B$6:$Q$1245,8,0)),VLOOKUP($A63,'liste reference'!$A$6:$Q$1245,9,0)))</f>
        <v>PHg</v>
      </c>
      <c r="H63" s="537" t="n">
        <f aca="false">IF(A63="","x",IF(ISERROR(VLOOKUP($A63,'liste reference'!$A$6:$Q$1245,10,0)),IF(ISERROR(VLOOKUP($A63,'liste reference'!$B$6:$Q$1245,9,0)),"x",VLOOKUP($A63,'liste reference'!$B$6:$Q$1245,9,0)),VLOOKUP($A63,'liste reference'!$A$6:$Q$1245,10,0)))</f>
        <v>9</v>
      </c>
      <c r="I63" s="321" t="n">
        <f aca="false">IF(A63="","",1)</f>
        <v>1</v>
      </c>
      <c r="J63" s="538" t="str">
        <f aca="false">IF(ISNUMBER($H63),IF(ISERROR(VLOOKUP($A63,'liste reference'!$A$6:$Q$1245,6,0)),IF(ISERROR(VLOOKUP($A63,'liste reference'!$B$6:$Q$1245,5,0)),"nu",VLOOKUP($A63,'liste reference'!$B$6:$Q$1245,5,0)),VLOOKUP($A63,'liste reference'!$A$6:$Q$1245,6,0)),"nu")</f>
        <v>nc</v>
      </c>
      <c r="K63" s="538" t="str">
        <f aca="false">IF(ISNUMBER($H63),IF(ISERROR(VLOOKUP($A63,'liste reference'!$A$6:$Q$1245,7,0)),IF(ISERROR(VLOOKUP($A63,'liste reference'!$B$6:$Q$1245,6,0)),"nu",VLOOKUP($A63,'liste reference'!$B$6:$Q$1245,6,0)),VLOOKUP($A63,'liste reference'!$A$6:$Q$1245,7,0)),"nu")</f>
        <v>nc</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Lysimachia vulgaris</v>
      </c>
      <c r="M63" s="545"/>
      <c r="N63" s="545"/>
      <c r="O63" s="545"/>
      <c r="P63" s="540" t="s">
        <v>3619</v>
      </c>
      <c r="Q63" s="541" t="n">
        <f aca="false">IF(OR($A63="NEWCOD",$A63="!!!!!!"),IF(X63="","NoCod",X63),IF($A63="","",IF(ISERROR(VLOOKUP($A63,'liste reference'!$A$6:$H$1245,8,FALSE())),IF(ISERROR(VLOOKUP($A63,'liste reference'!$B$6:$H$1245,7,FALSE())),"",VLOOKUP($A63,'liste reference'!$B$6:$H$1245,7,FALSE())),VLOOKUP($A63,'liste reference'!$A$6:$H$1245,8,FALSE()))))</f>
        <v>1887</v>
      </c>
      <c r="R63" s="525" t="n">
        <f aca="false">IF(ISTEXT(H63),"",(B63*$B$7/100)+(C63*$C$7/100))</f>
        <v>0.0045</v>
      </c>
      <c r="S63" s="526" t="n">
        <f aca="false">IF(OR(ISTEXT(H63),R63=0),"",IF(R63&lt;0.1,1,IF(R63&lt;1,2,IF(R63&lt;10,3,IF(R63&lt;50,4,IF(R63&gt;=50,5,""))))))</f>
        <v>1</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LYSVUL</v>
      </c>
      <c r="Z63" s="511" t="n">
        <f aca="false">IF(ISERROR(MATCH(A63,'liste reference'!$A$6:$A$1245,0)),IF(ISERROR(MATCH(A63,'liste reference'!$B$6:$B$1245,0)),"",(MATCH(A63,'liste reference'!$B$6:$B$1245,0))),(MATCH(A63,'liste reference'!$A$6:$A$1245,0)))</f>
        <v>967</v>
      </c>
    </row>
    <row r="64" customFormat="false" ht="12.75" hidden="false" customHeight="false" outlineLevel="0" collapsed="false">
      <c r="A64" s="530" t="s">
        <v>2864</v>
      </c>
      <c r="B64" s="531" t="n">
        <v>0.005</v>
      </c>
      <c r="C64" s="532" t="n">
        <v>0.005</v>
      </c>
      <c r="D64" s="533" t="str">
        <f aca="false">IF(ISERROR(VLOOKUP($A64,'liste reference'!$A$6:$B$1245,2,0)),IF(ISERROR(VLOOKUP($A64,'liste reference'!$B$6:$B$1245,1,0)),"",VLOOKUP($A64,'liste reference'!$B$6:$B$1245,1,0)),VLOOKUP($A64,'liste reference'!$A$6:$B$1245,2,0))</f>
        <v>Lythrum salicaria</v>
      </c>
      <c r="E64" s="534" t="e">
        <f aca="false">IF(D64="",0,VLOOKUP(D64,D$22:D63,1,0))</f>
        <v>#N/A</v>
      </c>
      <c r="F64" s="535" t="n">
        <f aca="false">IF(AND(OR(A64="",A64="!!!!!!"),B64="",C64=""),"",IF(OR(AND(B64="",C64=""),ISERROR(C64+B64)),"!!!",($B64*$B$7+$C64*$C$7)/100))</f>
        <v>0.005</v>
      </c>
      <c r="G64" s="536" t="str">
        <f aca="false">IF(A64="","",IF(ISERROR(VLOOKUP($A64,'liste reference'!$A$6:$Q$1245,9,0)),IF(ISERROR(VLOOKUP($A64,'liste reference'!$B$6:$Q$1245,8,0)),"    -",VLOOKUP($A64,'liste reference'!$B$6:$Q$1245,8,0)),VLOOKUP($A64,'liste reference'!$A$6:$Q$1245,9,0)))</f>
        <v>PHg</v>
      </c>
      <c r="H64" s="537" t="n">
        <f aca="false">IF(A64="","x",IF(ISERROR(VLOOKUP($A64,'liste reference'!$A$6:$Q$1245,10,0)),IF(ISERROR(VLOOKUP($A64,'liste reference'!$B$6:$Q$1245,9,0)),"x",VLOOKUP($A64,'liste reference'!$B$6:$Q$1245,9,0)),VLOOKUP($A64,'liste reference'!$A$6:$Q$1245,10,0)))</f>
        <v>9</v>
      </c>
      <c r="I64" s="321" t="n">
        <f aca="false">IF(A64="","",1)</f>
        <v>1</v>
      </c>
      <c r="J64" s="538" t="str">
        <f aca="false">IF(ISNUMBER($H64),IF(ISERROR(VLOOKUP($A64,'liste reference'!$A$6:$Q$1245,6,0)),IF(ISERROR(VLOOKUP($A64,'liste reference'!$B$6:$Q$1245,5,0)),"nu",VLOOKUP($A64,'liste reference'!$B$6:$Q$1245,5,0)),VLOOKUP($A64,'liste reference'!$A$6:$Q$1245,6,0)),"nu")</f>
        <v>nc</v>
      </c>
      <c r="K64" s="538" t="str">
        <f aca="false">IF(ISNUMBER($H64),IF(ISERROR(VLOOKUP($A64,'liste reference'!$A$6:$Q$1245,7,0)),IF(ISERROR(VLOOKUP($A64,'liste reference'!$B$6:$Q$1245,6,0)),"nu",VLOOKUP($A64,'liste reference'!$B$6:$Q$1245,6,0)),VLOOKUP($A64,'liste reference'!$A$6:$Q$1245,7,0)),"nu")</f>
        <v>nc</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Lythrum salicaria</v>
      </c>
      <c r="M64" s="539"/>
      <c r="N64" s="539"/>
      <c r="O64" s="539"/>
      <c r="P64" s="540" t="s">
        <v>3619</v>
      </c>
      <c r="Q64" s="541" t="n">
        <f aca="false">IF(OR($A64="NEWCOD",$A64="!!!!!!"),IF(X64="","NoCod",X64),IF($A64="","",IF(ISERROR(VLOOKUP($A64,'liste reference'!$A$6:$H$1245,8,FALSE())),IF(ISERROR(VLOOKUP($A64,'liste reference'!$B$6:$H$1245,7,FALSE())),"",VLOOKUP($A64,'liste reference'!$B$6:$H$1245,7,FALSE())),VLOOKUP($A64,'liste reference'!$A$6:$H$1245,8,FALSE()))))</f>
        <v>1823</v>
      </c>
      <c r="R64" s="525" t="n">
        <f aca="false">IF(ISTEXT(H64),"",(B64*$B$7/100)+(C64*$C$7/100))</f>
        <v>0.005</v>
      </c>
      <c r="S64" s="526" t="n">
        <f aca="false">IF(OR(ISTEXT(H64),R64=0),"",IF(R64&lt;0.1,1,IF(R64&lt;1,2,IF(R64&lt;10,3,IF(R64&lt;50,4,IF(R64&gt;=50,5,""))))))</f>
        <v>1</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LYTSAL</v>
      </c>
      <c r="Z64" s="511" t="n">
        <f aca="false">IF(ISERROR(MATCH(A64,'liste reference'!$A$6:$A$1245,0)),IF(ISERROR(MATCH(A64,'liste reference'!$B$6:$B$1245,0)),"",(MATCH(A64,'liste reference'!$B$6:$B$1245,0))),(MATCH(A64,'liste reference'!$A$6:$A$1245,0)))</f>
        <v>970</v>
      </c>
    </row>
    <row r="65" customFormat="false" ht="12.75" hidden="false" customHeight="false" outlineLevel="0" collapsed="false">
      <c r="A65" s="530" t="s">
        <v>2933</v>
      </c>
      <c r="B65" s="531"/>
      <c r="C65" s="532" t="n">
        <v>0.005</v>
      </c>
      <c r="D65" s="533" t="str">
        <f aca="false">IF(ISERROR(VLOOKUP($A65,'liste reference'!$A$6:$B$1245,2,0)),IF(ISERROR(VLOOKUP($A65,'liste reference'!$B$6:$B$1245,1,0)),"",VLOOKUP($A65,'liste reference'!$B$6:$B$1245,1,0)),VLOOKUP($A65,'liste reference'!$A$6:$B$1245,2,0))</f>
        <v>Persicaria hydropiper</v>
      </c>
      <c r="E65" s="534" t="e">
        <f aca="false">IF(D65="",0,VLOOKUP(D65,D$22:D64,1,0))</f>
        <v>#N/A</v>
      </c>
      <c r="F65" s="535" t="n">
        <f aca="false">IF(AND(OR(A65="",A65="!!!!!!"),B65="",C65=""),"",IF(OR(AND(B65="",C65=""),ISERROR(C65+B65)),"!!!",($B65*$B$7+$C65*$C$7)/100))</f>
        <v>0.0045</v>
      </c>
      <c r="G65" s="536" t="str">
        <f aca="false">IF(A65="","",IF(ISERROR(VLOOKUP($A65,'liste reference'!$A$6:$Q$1245,9,0)),IF(ISERROR(VLOOKUP($A65,'liste reference'!$B$6:$Q$1245,8,0)),"    -",VLOOKUP($A65,'liste reference'!$B$6:$Q$1245,8,0)),VLOOKUP($A65,'liste reference'!$A$6:$Q$1245,9,0)))</f>
        <v>PHg</v>
      </c>
      <c r="H65" s="537" t="n">
        <f aca="false">IF(A65="","x",IF(ISERROR(VLOOKUP($A65,'liste reference'!$A$6:$Q$1245,10,0)),IF(ISERROR(VLOOKUP($A65,'liste reference'!$B$6:$Q$1245,9,0)),"x",VLOOKUP($A65,'liste reference'!$B$6:$Q$1245,9,0)),VLOOKUP($A65,'liste reference'!$A$6:$Q$1245,10,0)))</f>
        <v>9</v>
      </c>
      <c r="I65" s="321" t="n">
        <f aca="false">IF(A65="","",1)</f>
        <v>1</v>
      </c>
      <c r="J65" s="538" t="n">
        <f aca="false">IF(ISNUMBER($H65),IF(ISERROR(VLOOKUP($A65,'liste reference'!$A$6:$Q$1245,6,0)),IF(ISERROR(VLOOKUP($A65,'liste reference'!$B$6:$Q$1245,5,0)),"nu",VLOOKUP($A65,'liste reference'!$B$6:$Q$1245,5,0)),VLOOKUP($A65,'liste reference'!$A$6:$Q$1245,6,0)),"nu")</f>
        <v>8</v>
      </c>
      <c r="K65" s="538" t="n">
        <f aca="false">IF(ISNUMBER($H65),IF(ISERROR(VLOOKUP($A65,'liste reference'!$A$6:$Q$1245,7,0)),IF(ISERROR(VLOOKUP($A65,'liste reference'!$B$6:$Q$1245,6,0)),"nu",VLOOKUP($A65,'liste reference'!$B$6:$Q$1245,6,0)),VLOOKUP($A65,'liste reference'!$A$6:$Q$1245,7,0)),"nu")</f>
        <v>2</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Persicaria hydropiper</v>
      </c>
      <c r="M65" s="539"/>
      <c r="N65" s="539"/>
      <c r="O65" s="539"/>
      <c r="P65" s="540" t="s">
        <v>3619</v>
      </c>
      <c r="Q65" s="541" t="n">
        <f aca="false">IF(OR($A65="NEWCOD",$A65="!!!!!!"),IF(X65="","NoCod",X65),IF($A65="","",IF(ISERROR(VLOOKUP($A65,'liste reference'!$A$6:$H$1245,8,FALSE())),IF(ISERROR(VLOOKUP($A65,'liste reference'!$B$6:$H$1245,7,FALSE())),"",VLOOKUP($A65,'liste reference'!$B$6:$H$1245,7,FALSE())),VLOOKUP($A65,'liste reference'!$A$6:$H$1245,8,FALSE()))))</f>
        <v>31021</v>
      </c>
      <c r="R65" s="525" t="n">
        <f aca="false">IF(ISTEXT(H65),"",(B65*$B$7/100)+(C65*$C$7/100))</f>
        <v>0.0045</v>
      </c>
      <c r="S65" s="526" t="n">
        <f aca="false">IF(OR(ISTEXT(H65),R65=0),"",IF(R65&lt;0.1,1,IF(R65&lt;1,2,IF(R65&lt;10,3,IF(R65&lt;50,4,IF(R65&gt;=50,5,""))))))</f>
        <v>1</v>
      </c>
      <c r="T65" s="526" t="n">
        <f aca="false">IF(ISERROR(S65*J65),0,S65*J65)</f>
        <v>8</v>
      </c>
      <c r="U65" s="526" t="n">
        <f aca="false">IF(ISERROR(S65*J65*K65),0,S65*J65*K65)</f>
        <v>16</v>
      </c>
      <c r="V65" s="542" t="n">
        <f aca="false">IF(ISERROR(S65*K65),0,S65*K65)</f>
        <v>2</v>
      </c>
      <c r="W65" s="543"/>
      <c r="X65" s="544"/>
      <c r="Y65" s="529" t="str">
        <f aca="false">IF(AND(ISNUMBER(F65),OR(A65="",A65="!!!!!!")),"!!!!!!",IF(A65="new.cod","NEWCOD",IF(AND((Z65=""),ISTEXT(A65),A65&lt;&gt;"!!!!!!"),A65,IF(Z65="","",INDEX('liste reference'!$A$6:$A$1245,Z65)))))</f>
        <v>PERHYD</v>
      </c>
      <c r="Z65" s="511" t="n">
        <f aca="false">IF(ISERROR(MATCH(A65,'liste reference'!$A$6:$A$1245,0)),IF(ISERROR(MATCH(A65,'liste reference'!$B$6:$B$1245,0)),"",(MATCH(A65,'liste reference'!$B$6:$B$1245,0))),(MATCH(A65,'liste reference'!$A$6:$A$1245,0)))</f>
        <v>993</v>
      </c>
    </row>
    <row r="66" customFormat="false" ht="12.75" hidden="false" customHeight="false" outlineLevel="0" collapsed="false">
      <c r="A66" s="530" t="s">
        <v>3640</v>
      </c>
      <c r="B66" s="531"/>
      <c r="C66" s="532" t="n">
        <v>0.005</v>
      </c>
      <c r="D66" s="533" t="str">
        <f aca="false">IF(ISERROR(VLOOKUP($A66,'liste reference'!$A$6:$B$1245,2,0)),IF(ISERROR(VLOOKUP($A66,'liste reference'!$B$6:$B$1245,1,0)),"",VLOOKUP($A66,'liste reference'!$B$6:$B$1245,1,0)),VLOOKUP($A66,'liste reference'!$A$6:$B$1245,2,0))</f>
        <v/>
      </c>
      <c r="E66" s="534" t="n">
        <f aca="false">IF(D66="",0,VLOOKUP(D66,D$22:D65,1,0))</f>
        <v>0</v>
      </c>
      <c r="F66" s="535" t="n">
        <f aca="false">IF(AND(OR(A66="",A66="!!!!!!"),B66="",C66=""),"",IF(OR(AND(B66="",C66=""),ISERROR(C66+B66)),"!!!",($B66*$B$7+$C66*$C$7)/100))</f>
        <v>0.0045</v>
      </c>
      <c r="G66" s="536" t="str">
        <f aca="false">IF(A66="","",IF(ISERROR(VLOOKUP($A66,'liste reference'!$A$6:$Q$1245,9,0)),IF(ISERROR(VLOOKUP($A66,'liste reference'!$B$6:$Q$1245,8,0)),"    -",VLOOKUP($A66,'liste reference'!$B$6:$Q$1245,8,0)),VLOOKUP($A66,'liste reference'!$A$6:$Q$1245,9,0)))</f>
        <v>    -</v>
      </c>
      <c r="H66" s="537" t="str">
        <f aca="false">IF(A66="","x",IF(ISERROR(VLOOKUP($A66,'liste reference'!$A$6:$Q$1245,10,0)),IF(ISERROR(VLOOKUP($A66,'liste reference'!$B$6:$Q$1245,9,0)),"x",VLOOKUP($A66,'liste reference'!$B$6:$Q$1245,9,0)),VLOOKUP($A66,'liste reference'!$A$6:$Q$1245,10,0)))</f>
        <v>x</v>
      </c>
      <c r="I66" s="321" t="n">
        <f aca="false">IF(A66="","",1)</f>
        <v>1</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Jacobaea erratica</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NoCod</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3641</v>
      </c>
      <c r="X66" s="544"/>
      <c r="Y66" s="529" t="str">
        <f aca="false">IF(AND(ISNUMBER(F66),OR(A66="",A66="!!!!!!")),"!!!!!!",IF(A66="new.cod","NEWCOD",IF(AND((Z66=""),ISTEXT(A66),A66&lt;&gt;"!!!!!!"),A66,IF(Z66="","",INDEX('liste reference'!$A$6:$A$1245,Z66)))))</f>
        <v>NEWCOD</v>
      </c>
      <c r="Z66" s="511" t="str">
        <f aca="false">IF(ISERROR(MATCH(A66,'liste reference'!$A$6:$A$1245,0)),IF(ISERROR(MATCH(A66,'liste reference'!$B$6:$B$1245,0)),"",(MATCH(A66,'liste reference'!$B$6:$B$1245,0))),(MATCH(A66,'liste reference'!$A$6:$A$1245,0)))</f>
        <v/>
      </c>
    </row>
    <row r="67" customFormat="false" ht="12.75" hidden="fals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fals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fals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fals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fals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fals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fals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fals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fals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fals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fals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fals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fals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fals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fals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13.4555</v>
      </c>
      <c r="G83" s="464"/>
      <c r="H83" s="464"/>
      <c r="I83" s="464"/>
      <c r="J83" s="464"/>
      <c r="K83" s="464"/>
      <c r="L83" s="464"/>
      <c r="M83" s="526"/>
      <c r="N83" s="526"/>
      <c r="O83" s="526"/>
      <c r="P83" s="526"/>
      <c r="Q83" s="526"/>
      <c r="R83" s="526"/>
      <c r="S83" s="526"/>
      <c r="T83" s="526"/>
      <c r="U83" s="526"/>
      <c r="V83" s="526" t="n">
        <f aca="false">SUM(V23:V82)</f>
        <v>85</v>
      </c>
      <c r="W83" s="526"/>
      <c r="X83" s="564"/>
      <c r="Y83" s="564"/>
      <c r="Z83" s="565"/>
    </row>
    <row r="84" customFormat="false" ht="12.75" hidden="true" customHeight="false" outlineLevel="0" collapsed="false">
      <c r="A84" s="559" t="str">
        <f aca="false">A3</f>
        <v>VIDOURLE</v>
      </c>
      <c r="B84" s="493" t="str">
        <f aca="false">C3</f>
        <v>Liouc</v>
      </c>
      <c r="C84" s="566" t="str">
        <f aca="false">A4</f>
        <v>(Date)</v>
      </c>
      <c r="D84" s="567" t="n">
        <f aca="false">IF(OR(ISERROR(SUM($U$23:$U$82)/SUM($V$23:$V$82)),F7&lt;&gt;100),-1,SUM($U$23:$U$82)/SUM($V$23:$V$82))</f>
        <v>8.62352941176471</v>
      </c>
      <c r="E84" s="568" t="n">
        <f aca="false">O13</f>
        <v>43</v>
      </c>
      <c r="F84" s="493" t="n">
        <f aca="false">O14</f>
        <v>32</v>
      </c>
      <c r="G84" s="493" t="n">
        <f aca="false">O15</f>
        <v>11</v>
      </c>
      <c r="H84" s="493" t="n">
        <f aca="false">O16</f>
        <v>18</v>
      </c>
      <c r="I84" s="493" t="n">
        <f aca="false">O17</f>
        <v>3</v>
      </c>
      <c r="J84" s="569" t="n">
        <f aca="false">O8</f>
        <v>9.3125</v>
      </c>
      <c r="K84" s="570" t="n">
        <f aca="false">O9</f>
        <v>2.70921460021166</v>
      </c>
      <c r="L84" s="571" t="n">
        <f aca="false">O10</f>
        <v>4</v>
      </c>
      <c r="M84" s="571" t="n">
        <f aca="false">O11</f>
        <v>14</v>
      </c>
      <c r="N84" s="570" t="n">
        <f aca="false">P8</f>
        <v>1.75</v>
      </c>
      <c r="O84" s="570" t="n">
        <f aca="false">P9</f>
        <v>0.612372435695795</v>
      </c>
      <c r="P84" s="571" t="n">
        <f aca="false">P10</f>
        <v>1</v>
      </c>
      <c r="Q84" s="571" t="n">
        <f aca="false">P11</f>
        <v>3</v>
      </c>
      <c r="R84" s="571" t="n">
        <f aca="false">F21</f>
        <v>13.437</v>
      </c>
      <c r="S84" s="571" t="n">
        <f aca="false">L11</f>
        <v>0</v>
      </c>
      <c r="T84" s="571" t="n">
        <f aca="false">L12</f>
        <v>11</v>
      </c>
      <c r="U84" s="571" t="n">
        <f aca="false">L13</f>
        <v>5</v>
      </c>
      <c r="V84" s="572" t="n">
        <f aca="false">L15</f>
        <v>25</v>
      </c>
      <c r="W84" s="573" t="n">
        <f aca="false">L15</f>
        <v>25</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12</v>
      </c>
      <c r="U87" s="321"/>
      <c r="V87" s="321"/>
    </row>
    <row r="88" customFormat="false" ht="12.75" hidden="true" customHeight="false" outlineLevel="0" collapsed="false">
      <c r="C88" s="575"/>
      <c r="D88" s="575"/>
      <c r="E88" s="575"/>
      <c r="R88" s="321" t="s">
        <v>3622</v>
      </c>
      <c r="S88" s="321"/>
      <c r="T88" s="577" t="n">
        <f aca="false">VLOOKUP($T$91,($A$23:$U$82),21,FALSE())</f>
        <v>36</v>
      </c>
      <c r="U88" s="321"/>
      <c r="V88" s="321" t="n">
        <f aca="false">COUNTIF(V23:V82,T89)</f>
        <v>1</v>
      </c>
    </row>
    <row r="89" customFormat="false" ht="12.75" hidden="true" customHeight="false" outlineLevel="0" collapsed="false">
      <c r="C89" s="575"/>
      <c r="D89" s="575"/>
      <c r="E89" s="575"/>
      <c r="R89" s="321" t="s">
        <v>3623</v>
      </c>
      <c r="S89" s="321"/>
      <c r="T89" s="577" t="n">
        <f aca="false">MAX($V$23:$V$82)</f>
        <v>9</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9.17105263157895</v>
      </c>
      <c r="U90" s="321" t="n">
        <f aca="false">IF(ISERROR(T90),0,1)</f>
        <v>1</v>
      </c>
    </row>
    <row r="91" customFormat="false" ht="12.75" hidden="true" customHeight="false" outlineLevel="0" collapsed="false">
      <c r="C91" s="575"/>
      <c r="D91" s="575"/>
      <c r="E91" s="575"/>
      <c r="R91" s="526" t="s">
        <v>3626</v>
      </c>
      <c r="S91" s="526"/>
      <c r="T91" s="526" t="str">
        <f aca="false">INDEX('liste reference'!$A$6:$A$1245,$U$91)</f>
        <v>POTNOD</v>
      </c>
      <c r="U91" s="321" t="n">
        <f aca="false">IF(ISERROR(MATCH($T$93,'liste reference'!$A$6:$A$1245,0)),MATCH($T$93,'liste reference'!$B$6:$B$1245,0),(MATCH($T$93,'liste reference'!$A$6:$A$1245,0)))</f>
        <v>567</v>
      </c>
      <c r="V91" s="579"/>
    </row>
    <row r="92" customFormat="false" ht="12.75" hidden="true" customHeight="false" outlineLevel="0" collapsed="false">
      <c r="C92" s="575"/>
      <c r="D92" s="575"/>
      <c r="E92" s="575"/>
      <c r="R92" s="321" t="s">
        <v>3627</v>
      </c>
      <c r="S92" s="321"/>
      <c r="T92" s="321" t="n">
        <f aca="false">MATCH(T89,$V$23:$V$82,0)</f>
        <v>25</v>
      </c>
      <c r="U92" s="321"/>
    </row>
    <row r="93" customFormat="false" ht="12.75" hidden="true" customHeight="false" outlineLevel="0" collapsed="false">
      <c r="C93" s="575"/>
      <c r="D93" s="575"/>
      <c r="E93" s="575"/>
      <c r="R93" s="526" t="s">
        <v>3628</v>
      </c>
      <c r="S93" s="321"/>
      <c r="T93" s="526" t="str">
        <f aca="false">INDEX($A$23:$A$82,$T$92)</f>
        <v>POTNOD</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3642</v>
      </c>
      <c r="B1" s="582"/>
      <c r="C1" s="582"/>
      <c r="D1" s="582"/>
      <c r="E1" s="583" t="s">
        <v>3643</v>
      </c>
      <c r="F1" s="584" t="s">
        <v>3644</v>
      </c>
      <c r="G1" s="585"/>
    </row>
    <row r="2" customFormat="false" ht="15" hidden="false" customHeight="false" outlineLevel="0" collapsed="false">
      <c r="A2" s="586" t="s">
        <v>3645</v>
      </c>
      <c r="B2" s="587"/>
      <c r="C2" s="588"/>
      <c r="D2" s="588"/>
      <c r="E2" s="583"/>
      <c r="F2" s="584" t="s">
        <v>3646</v>
      </c>
      <c r="G2" s="585"/>
    </row>
    <row r="3" customFormat="false" ht="15.75" hidden="false" customHeight="false" outlineLevel="0" collapsed="false">
      <c r="A3" s="586" t="s">
        <v>3647</v>
      </c>
      <c r="B3" s="587"/>
      <c r="C3" s="588"/>
      <c r="D3" s="589" t="s">
        <v>3648</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3649</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3640</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3650</v>
      </c>
      <c r="G17" s="608"/>
      <c r="H17" s="609" t="s">
        <v>3651</v>
      </c>
      <c r="I17" s="608"/>
    </row>
    <row r="18" customFormat="false" ht="15" hidden="false" customHeight="false" outlineLevel="0" collapsed="false">
      <c r="A18" s="601"/>
      <c r="B18" s="604" t="s">
        <v>3133</v>
      </c>
      <c r="C18" s="605"/>
      <c r="D18" s="606"/>
      <c r="F18" s="610" t="s">
        <v>3652</v>
      </c>
      <c r="G18" s="611"/>
      <c r="H18" s="610" t="s">
        <v>3652</v>
      </c>
      <c r="I18" s="612"/>
    </row>
    <row r="19" customFormat="false" ht="15" hidden="false" customHeight="false" outlineLevel="0" collapsed="false">
      <c r="A19" s="601"/>
      <c r="B19" s="604" t="s">
        <v>3135</v>
      </c>
      <c r="C19" s="605"/>
      <c r="D19" s="606"/>
      <c r="F19" s="613" t="s">
        <v>3653</v>
      </c>
      <c r="G19" s="8"/>
      <c r="H19" s="613" t="s">
        <v>3653</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3654</v>
      </c>
      <c r="G21" s="8"/>
      <c r="H21" s="613" t="s">
        <v>3654</v>
      </c>
      <c r="I21" s="614"/>
    </row>
    <row r="22" customFormat="false" ht="15" hidden="false" customHeight="false" outlineLevel="0" collapsed="false">
      <c r="A22" s="601"/>
      <c r="B22" s="604" t="s">
        <v>3141</v>
      </c>
      <c r="C22" s="605"/>
      <c r="D22" s="606"/>
      <c r="F22" s="613" t="s">
        <v>3655</v>
      </c>
      <c r="G22" s="8"/>
      <c r="H22" s="613" t="s">
        <v>3655</v>
      </c>
      <c r="I22" s="614"/>
    </row>
    <row r="23" customFormat="false" ht="15" hidden="false" customHeight="false" outlineLevel="0" collapsed="false">
      <c r="A23" s="601"/>
      <c r="B23" s="604" t="s">
        <v>2051</v>
      </c>
      <c r="C23" s="605"/>
      <c r="D23" s="606"/>
      <c r="F23" s="613" t="s">
        <v>3656</v>
      </c>
      <c r="G23" s="8"/>
      <c r="H23" s="613" t="s">
        <v>3656</v>
      </c>
      <c r="I23" s="614"/>
    </row>
    <row r="24" customFormat="false" ht="15" hidden="false" customHeight="false" outlineLevel="0" collapsed="false">
      <c r="A24" s="601"/>
      <c r="B24" s="604" t="s">
        <v>3143</v>
      </c>
      <c r="C24" s="605"/>
      <c r="D24" s="606"/>
      <c r="F24" s="613" t="s">
        <v>3657</v>
      </c>
      <c r="G24" s="8"/>
      <c r="H24" s="613" t="s">
        <v>3657</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3658</v>
      </c>
      <c r="G26" s="8"/>
      <c r="H26" s="613" t="s">
        <v>3658</v>
      </c>
      <c r="I26" s="614"/>
    </row>
    <row r="27" customFormat="false" ht="15" hidden="false" customHeight="false" outlineLevel="0" collapsed="false">
      <c r="A27" s="601"/>
      <c r="B27" s="604" t="s">
        <v>1393</v>
      </c>
      <c r="C27" s="605"/>
      <c r="D27" s="606"/>
      <c r="F27" s="615" t="s">
        <v>3659</v>
      </c>
      <c r="G27" s="616"/>
      <c r="H27" s="615" t="s">
        <v>3659</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3660</v>
      </c>
    </row>
    <row r="31" customFormat="false" ht="15" hidden="false" customHeight="false" outlineLevel="0" collapsed="false">
      <c r="A31" s="601"/>
      <c r="B31" s="604" t="s">
        <v>2482</v>
      </c>
      <c r="C31" s="605"/>
      <c r="D31" s="606"/>
      <c r="F31" s="619" t="s">
        <v>3639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3661</v>
      </c>
    </row>
    <row r="37" customFormat="false" ht="15" hidden="false" customHeight="false" outlineLevel="0" collapsed="false">
      <c r="A37" s="601"/>
      <c r="B37" s="604" t="s">
        <v>3149</v>
      </c>
      <c r="C37" s="605"/>
      <c r="D37" s="606"/>
      <c r="F37" s="619" t="s">
        <v>3662</v>
      </c>
    </row>
    <row r="38" customFormat="false" ht="15" hidden="false" customHeight="false" outlineLevel="0" collapsed="false">
      <c r="A38" s="601"/>
      <c r="B38" s="604" t="s">
        <v>3151</v>
      </c>
      <c r="C38" s="605"/>
      <c r="D38" s="606"/>
      <c r="F38" s="621" t="s">
        <v>3663</v>
      </c>
    </row>
    <row r="39" customFormat="false" ht="15" hidden="false" customHeight="false" outlineLevel="0" collapsed="false">
      <c r="A39" s="601"/>
      <c r="B39" s="604" t="s">
        <v>3153</v>
      </c>
      <c r="C39" s="605"/>
      <c r="D39" s="606"/>
      <c r="F39" s="621" t="s">
        <v>3664</v>
      </c>
    </row>
    <row r="40" customFormat="false" ht="15" hidden="false" customHeight="false" outlineLevel="0" collapsed="false">
      <c r="A40" s="601"/>
      <c r="B40" s="604" t="s">
        <v>663</v>
      </c>
      <c r="C40" s="605"/>
      <c r="D40" s="606"/>
      <c r="F40" s="621" t="s">
        <v>3638</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2015-05-11T09:58:37Z</dcterms:modified>
  <cp:revision>0</cp:revision>
  <dc:subject/>
  <dc:title>Feuille d'aide au calcul de l'IBMR</dc:title>
</cp:coreProperties>
</file>