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9550" sheetId="6" state="visible" r:id="rId8"/>
    <sheet name="jgjg" sheetId="7" state="hidden" r:id="rId9"/>
    <sheet name="liste codes réf" sheetId="8" state="hidden" r:id="rId10"/>
  </sheets>
  <definedNames>
    <definedName function="false" hidden="false" localSheetId="5" name="_xlnm.Print_Area" vbProcedure="false">'06179550'!$A$1:$Q$82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'06179550'!$A$1:$Q$82</definedName>
    <definedName function="false" hidden="false" localSheetId="5" name="_xlnm__FilterDatabase" vbProcedure="false">'06179550'!$A$1:$C$1415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<sst xmlns="http://schemas.openxmlformats.org/spreadsheetml/2006/main" count="8841" uniqueCount="3497">
  <si>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</si>
  <si>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</si>
  <si>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</si>
  <si>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</si>
  <si>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</si>
  <si>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</si>
  <si>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</si>
  <si>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</si>
  <si>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</si>
  <si>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</si>
  <si>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</si>
  <si>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</si>
  <si>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</si>
  <si>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</si>
  <si>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</si>
  <si>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</si>
  <si>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</si>
  <si>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</si>
  <si>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</si>
  <si>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</si>
  <si>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</si>
  <si>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</si>
  <si>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</si>
  <si>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</si>
  <si>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</si>
  <si>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</si>
  <si>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</si>
  <si>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</si>
  <si>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</si>
  <si>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</si>
  <si>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</si>
  <si>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</si>
  <si>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</si>
  <si>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</si>
  <si>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</si>
  <si>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</si>
  <si>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</si>
  <si>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</si>
  <si>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</si>
  <si>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</si>
  <si>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</si>
  <si>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</si>
  <si>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</si>
  <si>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</si>
  <si>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</si>
  <si>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</si>
  <si>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</si>
  <si>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</si>
  <si>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</si>
  <si>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</si>
  <si>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</si>
  <si>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</si>
  <si>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</si>
  <si>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</si>
  <si>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</si>
  <si>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</si>
  <si>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</si>
  <si>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</si>
  <si>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</si>
  <si>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</si>
  <si>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</si>
  <si>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</si>
  <si>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</si>
  <si>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</si>
  <si>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</si>
  <si>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</si>
  <si>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</si>
  <si>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</si>
  <si>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</si>
  <si>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</si>
  <si>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</si>
  <si>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</si>
  <si>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</si>
  <si>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</si>
  <si>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</si>
  <si>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</si>
  <si>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</si>
  <si>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</si>
  <si>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</si>
  <si>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</si>
  <si>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</si>
  <si>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</si>
  <si>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</si>
  <si>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</si>
  <si>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</si>
  <si>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</si>
  <si>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</si>
  <si>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</si>
  <si>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</si>
  <si>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</si>
  <si>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</si>
  <si>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</si>
  <si>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</si>
  <si>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</si>
  <si>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</si>
  <si>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</si>
  <si>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</si>
  <si>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</si>
  <si>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</si>
  <si>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</si>
  <si>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</si>
  <si>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</si>
  <si>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</si>
  <si>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</si>
  <si>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</si>
  <si>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</si>
  <si>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</si>
  <si>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</si>
  <si>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</si>
  <si>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</si>
  <si>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</si>
  <si>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</si>
  <si>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</si>
  <si>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</si>
  <si>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</si>
  <si>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</si>
  <si>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</si>
  <si>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</si>
  <si>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</si>
  <si>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</si>
  <si>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</si>
  <si>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</si>
  <si>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</si>
  <si>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</si>
  <si>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</si>
  <si>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</si>
  <si>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</si>
  <si>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</si>
  <si>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</si>
  <si>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</si>
  <si>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</si>
  <si>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</si>
  <si>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</si>
  <si>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</si>
  <si>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</si>
  <si>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</si>
  <si>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</si>
  <si>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</si>
  <si>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</si>
  <si>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</si>
  <si>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</si>
  <si>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</si>
  <si>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</si>
  <si>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</si>
  <si>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</si>
  <si>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</si>
  <si>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</si>
  <si>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</si>
  <si>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</si>
  <si>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</si>
  <si>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</si>
  <si>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</si>
  <si>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</si>
  <si>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</si>
  <si>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</si>
  <si>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</si>
  <si>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</si>
  <si>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</si>
  <si>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</si>
  <si>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</si>
  <si>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</si>
  <si>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</si>
  <si>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</si>
  <si>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</si>
  <si>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</si>
  <si>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</si>
  <si>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</si>
  <si>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</si>
  <si>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</si>
  <si>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</si>
  <si>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</si>
  <si>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</si>
  <si>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</si>
  <si>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</si>
  <si>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</si>
  <si>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</si>
  <si>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</si>
  <si>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</si>
  <si>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</si>
  <si>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</si>
  <si>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</si>
  <si>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</si>
  <si>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</si>
  <si>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</si>
  <si>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</si>
  <si>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</si>
  <si>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</si>
  <si>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</si>
  <si>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</si>
  <si>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</si>
  <si>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</si>
  <si>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</si>
  <si>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</si>
  <si>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</si>
  <si>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</si>
  <si>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</si>
  <si>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</si>
  <si>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</si>
  <si>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</si>
  <si>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</si>
  <si>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</si>
  <si>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</si>
  <si>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</si>
  <si>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</si>
  <si>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</si>
  <si>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</si>
  <si>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</si>
  <si>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</si>
  <si>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</si>
  <si>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</si>
  <si>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</si>
  <si>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</si>
  <si>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</si>
  <si>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</si>
  <si>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</si>
  <si>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</si>
  <si>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</si>
  <si>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</si>
  <si>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</si>
  <si>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</si>
  <si>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</si>
  <si>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</si>
  <si>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</si>
  <si>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</si>
  <si>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</si>
  <si>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</si>
  <si>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</si>
  <si>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</si>
  <si>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</si>
  <si>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</si>
  <si>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</si>
  <si>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</si>
  <si>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</si>
  <si>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</si>
  <si>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</si>
  <si>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</si>
  <si>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</si>
  <si>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</si>
  <si>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</si>
  <si>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</si>
  <si>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</si>
  <si>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</si>
  <si>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</si>
  <si>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</si>
  <si>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</si>
  <si>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</si>
  <si>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</si>
  <si>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</si>
  <si>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</si>
  <si>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</si>
  <si>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</si>
  <si>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</si>
  <si>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</si>
  <si>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</si>
  <si>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</si>
  <si>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</si>
  <si>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</si>
  <si>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</si>
  <si>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</si>
  <si>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</si>
  <si>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</si>
  <si>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</si>
  <si>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</si>
  <si>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</si>
  <si>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</si>
  <si>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</si>
  <si>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</si>
  <si>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</si>
  <si>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</si>
  <si>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</si>
  <si>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</si>
  <si>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</si>
  <si>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</si>
  <si>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</si>
  <si>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</si>
  <si>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</si>
  <si>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</si>
  <si>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</si>
  <si>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</si>
  <si>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</si>
  <si>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</si>
  <si>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</si>
  <si>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</si>
  <si>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</si>
  <si>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</si>
  <si>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</si>
  <si>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</si>
  <si>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</si>
  <si>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</si>
  <si>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</si>
  <si>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</si>
  <si>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</si>
  <si>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</si>
  <si>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</si>
  <si>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</si>
  <si>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</si>
  <si>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</si>
  <si>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</si>
  <si>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</si>
  <si>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</si>
  <si>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</si>
  <si>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</si>
  <si>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</si>
  <si>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</si>
  <si>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</si>
  <si>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</si>
  <si>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</si>
  <si>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</si>
  <si>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</si>
  <si>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</si>
  <si>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</si>
  <si>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</si>
  <si>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</si>
  <si>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</si>
  <si>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</si>
  <si>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</si>
  <si>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</si>
  <si>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</si>
  <si>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</si>
  <si>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</si>
  <si>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</si>
  <si>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</si>
  <si>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</si>
  <si>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</si>
  <si>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</si>
  <si>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</si>
  <si>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</si>
  <si>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</si>
  <si>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</si>
  <si>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</si>
  <si>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</si>
  <si>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</si>
  <si>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</si>
  <si>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</si>
  <si>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</si>
  <si>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</si>
  <si>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</si>
  <si>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</si>
  <si>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</si>
  <si>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</si>
  <si>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</si>
  <si>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</si>
  <si>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</si>
  <si>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</si>
  <si>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</si>
  <si>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</si>
  <si>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</si>
  <si>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</si>
  <si>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</si>
  <si>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</si>
  <si>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</si>
  <si>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</si>
  <si>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</si>
  <si>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</si>
  <si>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</si>
  <si>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</si>
  <si>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</si>
  <si>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</si>
  <si>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</si>
  <si>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</si>
  <si>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</si>
  <si>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</si>
  <si>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</si>
  <si>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</si>
  <si>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</si>
  <si>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</si>
  <si>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</si>
  <si>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</si>
  <si>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</si>
  <si>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</si>
  <si>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</si>
  <si>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</si>
  <si>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</si>
  <si>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</si>
  <si>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</si>
  <si>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</si>
  <si>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</si>
  <si>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</si>
  <si>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</si>
  <si>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</si>
  <si>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</si>
  <si>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</si>
  <si>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</si>
  <si>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</si>
  <si>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</si>
  <si>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</si>
  <si>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</si>
  <si>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</si>
  <si>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</si>
  <si>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</si>
  <si>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</si>
  <si>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</si>
  <si>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</si>
  <si>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</si>
  <si>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</si>
  <si>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</si>
  <si>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</si>
  <si>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</si>
  <si>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</si>
  <si>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</si>
  <si>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</si>
  <si>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</si>
  <si>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</si>
  <si>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</si>
  <si>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</si>
  <si>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</si>
  <si>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</si>
  <si>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</si>
  <si>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</si>
  <si>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</si>
  <si>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</si>
  <si>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</si>
  <si>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</si>
  <si>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</si>
  <si>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</si>
  <si>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</si>
  <si>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</si>
  <si>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</si>
  <si>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</si>
  <si>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</si>
  <si>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</si>
  <si>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</si>
  <si>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</si>
  <si>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</si>
  <si>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</si>
  <si>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</si>
  <si>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</si>
  <si>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</si>
  <si>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</si>
  <si>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</si>
  <si>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</si>
  <si>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</si>
  <si>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</si>
  <si>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</si>
  <si>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</si>
  <si>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</si>
  <si>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</si>
  <si>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</si>
  <si>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</si>
  <si>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</si>
  <si>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</si>
  <si>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</si>
  <si>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</si>
  <si>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</si>
  <si>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</si>
  <si>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</si>
  <si>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</si>
  <si>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</si>
  <si>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</si>
  <si>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</si>
  <si>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</si>
  <si>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</si>
  <si>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</si>
  <si>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</si>
  <si>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</si>
  <si>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</si>
  <si>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</si>
  <si>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</si>
  <si>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</si>
  <si>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</si>
  <si>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</si>
  <si>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</si>
  <si>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</si>
  <si>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</si>
  <si>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</si>
  <si>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</si>
  <si>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</si>
  <si>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</si>
  <si>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</si>
  <si>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</si>
  <si>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</si>
  <si>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</si>
  <si>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</si>
  <si>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</si>
  <si>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</si>
  <si>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</si>
  <si>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</si>
  <si>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</si>
  <si>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</si>
  <si>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</si>
  <si>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</si>
  <si>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</si>
  <si>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</si>
  <si>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</si>
  <si>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</si>
  <si>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</si>
  <si>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</si>
  <si>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</si>
  <si>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</si>
  <si>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</si>
  <si>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</si>
  <si>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</si>
  <si>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</si>
  <si>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</si>
  <si>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</si>
  <si>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</si>
  <si>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</si>
  <si>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</si>
  <si>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</si>
  <si>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</si>
  <si>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</si>
  <si>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</si>
  <si>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</si>
  <si>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</si>
  <si>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</si>
  <si>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</si>
  <si>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</si>
  <si>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</si>
  <si>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</si>
  <si>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</si>
  <si>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</si>
  <si>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</si>
  <si>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</si>
  <si>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</si>
  <si>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</si>
  <si>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</si>
  <si>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</si>
  <si>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</si>
  <si>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</si>
  <si>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</si>
  <si>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</si>
  <si>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</si>
  <si>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</si>
  <si>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</si>
  <si>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</si>
  <si>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</si>
  <si>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</si>
  <si>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</si>
  <si>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</si>
  <si>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</si>
  <si>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</si>
  <si>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</si>
  <si>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</si>
  <si>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</si>
  <si>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</si>
  <si>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</si>
  <si>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</si>
  <si>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</si>
  <si>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</si>
  <si>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</si>
  <si>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</si>
  <si>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</si>
  <si>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</si>
  <si>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</si>
  <si>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</si>
  <si>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</si>
  <si>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</si>
  <si>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</si>
  <si>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</si>
  <si>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</si>
  <si>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</si>
  <si>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</si>
  <si>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</si>
  <si>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</si>
  <si>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</si>
  <si>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</si>
  <si>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</si>
  <si>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</si>
  <si>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</si>
  <si>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</si>
  <si>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</si>
  <si>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</si>
  <si>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</si>
  <si>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</si>
  <si>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</si>
  <si>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</si>
  <si>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</si>
  <si>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</si>
  <si>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</si>
  <si>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</si>
  <si>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</si>
  <si>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</si>
  <si>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</si>
  <si>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</si>
  <si>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</si>
  <si>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</si>
  <si>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</si>
  <si>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</si>
  <si>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</si>
  <si>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</si>
  <si>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</si>
  <si>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</si>
  <si>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</si>
  <si>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</si>
  <si>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</si>
  <si>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</si>
  <si>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</si>
  <si>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</si>
  <si>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</si>
  <si>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</si>
  <si>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</si>
  <si>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</si>
  <si>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</si>
  <si>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</si>
  <si>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</si>
  <si>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</si>
  <si>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</si>
  <si>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</si>
  <si>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</si>
  <si>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</si>
  <si>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</si>
  <si>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</si>
  <si>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</si>
  <si>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</si>
  <si>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</si>
  <si>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</si>
  <si>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</si>
  <si>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</si>
  <si>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</si>
  <si>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</si>
  <si>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</si>
  <si>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</si>
  <si>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</si>
  <si>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</si>
  <si>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</si>
  <si>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</si>
  <si>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</si>
  <si>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</si>
  <si>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</si>
  <si>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</si>
  <si>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</si>
  <si>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</si>
  <si>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</si>
  <si>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</si>
  <si>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</si>
  <si>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</si>
  <si>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</si>
  <si>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</si>
  <si>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</si>
  <si>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</si>
  <si>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</si>
  <si>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</si>
  <si>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</si>
  <si>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</si>
  <si>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</si>
  <si>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</si>
  <si>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</si>
  <si>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</si>
  <si>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</si>
  <si>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</si>
  <si>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</si>
  <si>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</si>
  <si>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</si>
  <si>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</si>
  <si>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</si>
  <si>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</si>
  <si>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</si>
  <si>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</si>
  <si>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</si>
  <si>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</si>
  <si>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</si>
  <si>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</si>
  <si>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</si>
  <si>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</si>
  <si>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</si>
  <si>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</si>
  <si>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</si>
  <si>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</si>
  <si>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</si>
  <si>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</si>
  <si>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</si>
  <si>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</si>
  <si>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</si>
  <si>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</si>
  <si>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</si>
  <si>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</si>
  <si>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</si>
  <si>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</si>
  <si>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</si>
  <si>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</si>
  <si>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</si>
  <si>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</si>
  <si>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</si>
  <si>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</si>
  <si>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</si>
  <si>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</si>
  <si>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</si>
  <si>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</si>
  <si>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</si>
  <si>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</si>
  <si>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</si>
  <si>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</si>
  <si>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</si>
  <si>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</si>
  <si>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</si>
  <si>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</si>
  <si>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</si>
  <si>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</si>
  <si>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</si>
  <si>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</si>
  <si>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</si>
  <si>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</si>
  <si>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</si>
  <si>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</si>
  <si>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</si>
  <si>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</si>
  <si>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</si>
  <si>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</si>
  <si>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</si>
  <si>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</si>
  <si>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</si>
  <si>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</si>
  <si>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</si>
  <si>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</si>
  <si>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</si>
  <si>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</si>
  <si>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</si>
  <si>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</si>
  <si>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</si>
  <si>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</si>
  <si>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</si>
  <si>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</si>
  <si>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</si>
  <si>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</si>
  <si>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</si>
  <si>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</si>
  <si>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</si>
  <si>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</si>
  <si>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</si>
  <si>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</si>
  <si>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</si>
  <si>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</si>
  <si>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</si>
  <si>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</si>
  <si>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</si>
  <si>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</si>
  <si>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</si>
  <si>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</si>
  <si>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</si>
  <si>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</si>
  <si>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</si>
  <si>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</si>
  <si>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</si>
  <si>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</si>
  <si>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</si>
  <si>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</si>
  <si>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</si>
  <si>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</si>
  <si>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</si>
  <si>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</si>
  <si>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</si>
  <si>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</si>
  <si>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</si>
  <si>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</si>
  <si>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</si>
  <si>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</si>
  <si>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</si>
  <si>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</si>
  <si>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</si>
  <si>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</si>
  <si>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</si>
  <si>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</si>
  <si>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</si>
  <si>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</si>
  <si>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</si>
  <si>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</si>
  <si>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</si>
  <si>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</si>
  <si>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</si>
  <si>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</si>
  <si>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</si>
  <si>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</si>
  <si>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</si>
  <si>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</si>
  <si>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</si>
  <si>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</si>
  <si>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</si>
  <si>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</si>
  <si>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</si>
  <si>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</si>
  <si>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</si>
  <si>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</si>
  <si>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</si>
  <si>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</si>
  <si>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</si>
  <si>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</si>
  <si>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</si>
  <si>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</si>
  <si>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</si>
  <si>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</si>
  <si>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</si>
  <si>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</si>
  <si>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</si>
  <si>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</si>
  <si>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</si>
  <si>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</si>
  <si>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</si>
  <si>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</si>
  <si>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</si>
  <si>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</si>
  <si>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</si>
  <si>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</si>
  <si>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</si>
  <si>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</si>
  <si>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</si>
  <si>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</si>
  <si>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</si>
  <si>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</si>
  <si>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</si>
  <si>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</si>
  <si>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</si>
  <si>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</si>
  <si>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</si>
  <si>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</si>
  <si>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</si>
  <si>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</si>
  <si>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</si>
  <si>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</si>
  <si>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</si>
  <si>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</si>
  <si>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</si>
  <si>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</si>
  <si>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</si>
  <si>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</si>
  <si>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</si>
  <si>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</si>
  <si>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</si>
  <si>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</si>
  <si>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</si>
  <si>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</si>
  <si>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</si>
  <si>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</si>
  <si>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</si>
  <si>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</si>
  <si>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</si>
  <si>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</si>
  <si>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</si>
  <si>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</si>
  <si>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</si>
  <si>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</si>
  <si>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</si>
  <si>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</si>
  <si>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</si>
  <si>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</si>
  <si>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</si>
  <si>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</si>
  <si>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</si>
  <si>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</si>
  <si>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</si>
  <si>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</si>
  <si>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</si>
  <si>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</si>
  <si>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</si>
  <si>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</si>
  <si>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</si>
  <si>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</si>
  <si>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</si>
  <si>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</si>
  <si>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</si>
  <si>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</si>
  <si>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</si>
  <si>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</si>
  <si>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</si>
  <si>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</si>
  <si>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</si>
  <si>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</si>
  <si>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</si>
  <si>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</si>
  <si>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</si>
  <si>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</si>
  <si>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</si>
  <si>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</si>
  <si>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</si>
  <si>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</si>
  <si>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</si>
  <si>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</si>
  <si>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</si>
  <si>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</si>
  <si>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</si>
  <si>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</si>
  <si>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</si>
  <si>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</si>
  <si>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</si>
  <si>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</si>
  <si>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</si>
  <si>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</si>
  <si>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</si>
  <si>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</si>
  <si>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</si>
  <si>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</si>
  <si>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</si>
  <si>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</si>
  <si>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</si>
  <si>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</si>
  <si>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</si>
  <si>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</si>
  <si>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</si>
  <si>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</si>
  <si>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</si>
  <si>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</si>
  <si>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</si>
  <si>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</si>
  <si>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</si>
  <si>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</si>
  <si>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</si>
  <si>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</si>
  <si>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</si>
  <si>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</si>
  <si>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</si>
  <si>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</si>
  <si>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</si>
  <si>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</si>
  <si>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</si>
  <si>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</si>
  <si>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</si>
  <si>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</si>
  <si>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</si>
  <si>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</si>
  <si>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</si>
  <si>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</si>
  <si>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</si>
  <si>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</si>
  <si>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</si>
  <si>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</si>
  <si>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</si>
  <si>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</si>
  <si>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</si>
  <si>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</si>
  <si>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</si>
  <si>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</si>
  <si>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</si>
  <si>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</si>
  <si>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</si>
  <si>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</si>
  <si>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</si>
  <si>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</si>
  <si>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</si>
  <si>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</si>
  <si>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</si>
  <si>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</si>
  <si>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</si>
  <si>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</si>
  <si>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</si>
  <si>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</si>
  <si>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</si>
  <si>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</si>
  <si>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</si>
  <si>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</si>
  <si>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</si>
  <si>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</si>
  <si>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</si>
  <si>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</si>
  <si>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</si>
  <si>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</si>
  <si>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</si>
  <si>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</si>
  <si>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</si>
  <si>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</si>
  <si>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</si>
  <si>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</si>
  <si>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</si>
  <si>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</si>
  <si>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</si>
  <si>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</si>
  <si>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</si>
  <si>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</si>
  <si>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</si>
  <si>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</si>
  <si>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</si>
  <si>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</si>
  <si>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</si>
  <si>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</si>
  <si>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</si>
  <si>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</si>
  <si>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</si>
  <si>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</si>
  <si>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</si>
  <si>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</si>
  <si>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</si>
  <si>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</si>
  <si>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</si>
  <si>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</si>
  <si>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</si>
  <si>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</si>
  <si>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</si>
  <si>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</si>
  <si>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</si>
  <si>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</si>
  <si>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</si>
  <si>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</si>
  <si>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</si>
  <si>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</si>
  <si>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</si>
  <si>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</si>
  <si>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</si>
  <si>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</si>
  <si>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</si>
  <si>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</si>
  <si>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</si>
  <si>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</si>
  <si>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</si>
  <si>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</si>
  <si>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</si>
  <si>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</si>
  <si>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</si>
  <si>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</si>
  <si>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</si>
  <si>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</si>
  <si>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</si>
  <si>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</si>
  <si>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</si>
  <si>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</si>
  <si>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</si>
  <si>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</si>
  <si>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</si>
  <si>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</si>
  <si>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</si>
  <si>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</si>
  <si>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</si>
  <si>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</si>
  <si>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</si>
  <si>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</si>
  <si>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</si>
  <si>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</si>
  <si>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</si>
  <si>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</si>
  <si>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</si>
  <si>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</si>
  <si>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</si>
  <si>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</si>
  <si>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</si>
  <si>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</si>
  <si>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</si>
  <si>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</si>
  <si>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</si>
  <si>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</si>
  <si>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</si>
  <si>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</si>
  <si>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</si>
  <si>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</si>
  <si>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</si>
  <si>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</si>
  <si>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</si>
  <si>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</si>
  <si>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</si>
  <si>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</si>
  <si>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</si>
  <si>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</si>
  <si>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</si>
  <si>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</si>
  <si>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</si>
  <si>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</si>
  <si>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</si>
  <si>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</si>
  <si>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</si>
  <si>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</si>
  <si>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</si>
  <si>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</si>
  <si>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</si>
  <si>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</si>
  <si>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</si>
  <si>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</si>
  <si>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</si>
  <si>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</si>
  <si>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</si>
  <si>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</si>
  <si>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</si>
  <si>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</si>
  <si>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</si>
  <si>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</si>
  <si>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</si>
  <si>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</si>
  <si>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</si>
  <si>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</si>
  <si>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</si>
  <si>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</si>
  <si>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</si>
  <si>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</si>
  <si>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</si>
  <si>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</si>
  <si>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</si>
  <si>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</si>
  <si>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</si>
  <si>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</si>
  <si>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</si>
  <si>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</si>
  <si>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</si>
  <si>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</si>
  <si>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</si>
  <si>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</si>
  <si>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</si>
  <si>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</si>
  <si>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</si>
  <si>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</si>
  <si>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</si>
  <si>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</si>
  <si>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</si>
  <si>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</si>
  <si>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</si>
  <si>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</si>
  <si>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</si>
  <si>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</si>
  <si>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</si>
  <si>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</si>
  <si>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</si>
  <si>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</si>
  <si>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</si>
  <si>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</si>
  <si>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</si>
  <si>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</si>
  <si>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</si>
  <si>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</si>
  <si>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</si>
  <si>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</si>
  <si>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</si>
  <si>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</si>
  <si>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</si>
  <si>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</si>
  <si>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</si>
  <si>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</si>
  <si>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</si>
  <si>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</si>
  <si>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</si>
  <si>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</si>
  <si>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</si>
  <si>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</si>
  <si>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</si>
  <si>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</si>
  <si>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</si>
  <si>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</si>
  <si>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</si>
  <si>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</si>
  <si>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</si>
  <si>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</si>
  <si>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</si>
  <si>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</si>
  <si>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</si>
  <si>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</si>
  <si>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</si>
  <si>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</si>
  <si>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</si>
  <si>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</si>
  <si>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</si>
  <si>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</si>
  <si>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</si>
  <si>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</si>
  <si>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</si>
  <si>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</si>
  <si>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</si>
  <si>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</si>
  <si>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</si>
  <si>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</si>
  <si>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</si>
  <si>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</si>
  <si>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</si>
  <si>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</si>
  <si>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</si>
  <si>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</si>
  <si>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</si>
  <si>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</si>
  <si>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</si>
  <si>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</si>
  <si>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</si>
  <si>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</si>
  <si>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</si>
  <si>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</si>
  <si>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</si>
  <si>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</si>
  <si>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</si>
  <si>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</si>
  <si>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</si>
  <si>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</si>
  <si>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</si>
  <si>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</si>
  <si>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</si>
  <si>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</si>
  <si>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</si>
  <si>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</si>
  <si>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</si>
  <si>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</si>
  <si>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</si>
  <si>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</si>
  <si>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</si>
  <si>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</si>
  <si>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</si>
  <si>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</si>
  <si>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</si>
  <si>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</si>
  <si>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</si>
  <si>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</si>
  <si>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</si>
  <si>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</si>
  <si>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</si>
  <si>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</si>
  <si>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</si>
  <si>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</si>
  <si>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</si>
  <si>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</si>
  <si>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</si>
  <si>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</si>
  <si>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</si>
  <si>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</si>
  <si>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</si>
  <si>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</si>
  <si>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</si>
  <si>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</si>
  <si>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</si>
  <si>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</si>
  <si>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</si>
  <si>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</si>
  <si>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</si>
  <si>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</si>
  <si>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</si>
  <si>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</si>
  <si>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</si>
  <si>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</si>
  <si>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</si>
  <si>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</si>
  <si>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</si>
  <si>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</si>
  <si>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</si>
  <si>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</si>
  <si>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</si>
  <si>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</si>
  <si>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</si>
  <si>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</si>
  <si>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</si>
  <si>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</si>
  <si>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</si>
  <si>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</si>
  <si>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</si>
  <si>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</si>
  <si>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</si>
  <si>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</si>
  <si>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</si>
  <si>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</si>
  <si>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</si>
  <si>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</si>
  <si>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</si>
  <si>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</si>
  <si>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</si>
  <si>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</si>
  <si>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</si>
  <si>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</si>
  <si>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</si>
  <si>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</si>
  <si>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</si>
  <si>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</si>
  <si>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</si>
  <si>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</si>
  <si>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</si>
  <si>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</si>
  <si>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</si>
  <si>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</si>
  <si>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</si>
  <si>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</si>
  <si>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</si>
  <si>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</si>
  <si>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</si>
  <si>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</si>
  <si>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</si>
  <si>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</si>
  <si>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</si>
  <si>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</si>
  <si>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</si>
  <si>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</si>
  <si>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</si>
  <si>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</si>
  <si>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</si>
  <si>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</si>
  <si>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</si>
  <si>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</si>
  <si>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</si>
  <si>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</si>
  <si>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</si>
  <si>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</si>
  <si>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</si>
  <si>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</si>
  <si>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</si>
  <si>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</si>
  <si>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</si>
  <si>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</si>
  <si>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</si>
  <si>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</si>
  <si>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</si>
  <si>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</si>
  <si>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</si>
  <si>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</si>
  <si>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</si>
  <si>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</si>
  <si>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</si>
  <si>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</si>
  <si>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</si>
  <si>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</si>
  <si>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</si>
  <si>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</si>
  <si>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</si>
  <si>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</si>
  <si>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</si>
  <si>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</si>
  <si>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</si>
  <si>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</si>
  <si>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</si>
  <si>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</si>
  <si>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</si>
  <si>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</si>
  <si>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</si>
  <si>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</si>
  <si>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</si>
  <si>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</si>
  <si>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</si>
  <si>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</si>
  <si>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</si>
  <si>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</si>
  <si>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</si>
  <si>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</si>
  <si>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</si>
  <si>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</si>
  <si>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</si>
  <si>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</si>
  <si>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</si>
  <si>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</si>
  <si>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</si>
  <si>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</si>
  <si>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</si>
  <si>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</si>
  <si>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</si>
  <si>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</si>
  <si>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</si>
  <si>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</si>
  <si>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</si>
  <si>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</si>
  <si>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</si>
  <si>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</si>
  <si>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</si>
  <si>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</si>
  <si>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</si>
  <si>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</si>
  <si>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</si>
  <si>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</si>
  <si>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</si>
  <si>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</si>
  <si>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</si>
  <si>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</si>
  <si>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</si>
  <si>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</si>
  <si>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</si>
  <si>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</si>
  <si>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</si>
  <si>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</si>
  <si>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</si>
  <si>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</si>
  <si>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</si>
  <si>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</si>
  <si>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</si>
  <si>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</si>
  <si>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</si>
  <si>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</si>
  <si>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</si>
  <si>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</si>
  <si>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</si>
  <si>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</si>
  <si>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</si>
  <si>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</si>
  <si>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</si>
  <si>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</si>
  <si>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</si>
  <si>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</si>
  <si>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</si>
  <si>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</si>
  <si>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</si>
  <si>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</si>
  <si>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</si>
  <si>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</si>
  <si>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</si>
  <si>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</si>
  <si>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</si>
  <si>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</si>
  <si>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</si>
  <si>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</si>
  <si>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</si>
  <si>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</si>
  <si>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</si>
  <si>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</si>
  <si>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</si>
  <si>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</si>
  <si>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</si>
  <si>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</si>
  <si>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</si>
  <si>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</si>
  <si>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</si>
  <si>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</si>
  <si>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</si>
  <si>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</si>
  <si>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</si>
  <si>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</si>
  <si>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</si>
  <si>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</si>
  <si>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</si>
  <si>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</si>
  <si>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</si>
  <si>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</si>
  <si>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</si>
  <si>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</si>
  <si>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</si>
  <si>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</si>
  <si>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</si>
  <si>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</si>
  <si>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</si>
  <si>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</si>
  <si>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</si>
  <si>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</si>
  <si>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</si>
  <si>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</si>
  <si>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</si>
  <si>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</si>
  <si>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</si>
  <si>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</si>
  <si>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</si>
  <si>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</si>
  <si>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</si>
  <si>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</si>
  <si>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</si>
  <si>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</si>
  <si>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</si>
  <si>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</si>
  <si>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</si>
  <si>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</si>
  <si>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</si>
  <si>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</si>
  <si>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</si>
  <si>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</si>
  <si>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</si>
  <si>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</si>
  <si>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</si>
  <si>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</si>
  <si>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</si>
  <si>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</si>
  <si>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</si>
  <si>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</si>
  <si>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</si>
  <si>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</si>
  <si>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</si>
  <si>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</si>
  <si>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</si>
  <si>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</si>
  <si>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</si>
  <si>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</si>
  <si>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</si>
  <si>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</si>
  <si>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</si>
  <si>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</si>
  <si>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</si>
  <si>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</si>
  <si>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</si>
  <si>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</si>
  <si>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</si>
  <si>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</si>
  <si>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</si>
  <si>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</si>
  <si>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</si>
  <si>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</si>
  <si>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</si>
  <si>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</si>
  <si>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</si>
  <si>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</si>
  <si>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</si>
  <si>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</si>
  <si>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</si>
  <si>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</si>
  <si>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</si>
  <si>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</si>
  <si>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</si>
  <si>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</si>
  <si>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</si>
  <si>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</si>
  <si>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</si>
  <si>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</si>
  <si>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</si>
  <si>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</si>
  <si>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</si>
  <si>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</si>
  <si>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</si>
  <si>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</si>
  <si>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</si>
  <si>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</si>
  <si>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</si>
  <si>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</si>
  <si>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</si>
  <si>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</si>
  <si>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</si>
  <si>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</si>
  <si>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</si>
  <si>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</si>
  <si>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</si>
  <si>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</si>
  <si>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</si>
  <si>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</si>
  <si>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</si>
  <si>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</si>
  <si>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</si>
  <si>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</si>
  <si>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</si>
  <si>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</si>
  <si>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</si>
  <si>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</si>
  <si>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</si>
  <si>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</si>
  <si>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</si>
  <si>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</si>
  <si>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</si>
  <si>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</si>
  <si>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</si>
  <si>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</si>
  <si>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</si>
  <si>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</si>
  <si>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</si>
  <si>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</si>
  <si>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</si>
  <si>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</si>
  <si>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</si>
  <si>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</si>
  <si>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</si>
  <si>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</si>
  <si>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</si>
  <si>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</si>
  <si>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</si>
  <si>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</si>
  <si>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</si>
  <si>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</si>
  <si>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</si>
  <si>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</si>
  <si>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</si>
  <si>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</si>
  <si>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</si>
  <si>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</si>
  <si>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</si>
  <si>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</si>
  <si>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</si>
  <si>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</si>
  <si>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</si>
  <si>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</si>
  <si>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</si>
  <si>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</si>
  <si>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</si>
  <si>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</si>
  <si>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</si>
  <si>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</si>
  <si>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</si>
  <si>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</si>
  <si>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</si>
  <si>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</si>
  <si>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</si>
  <si>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</si>
  <si>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</si>
  <si>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</si>
  <si>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</si>
  <si>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</si>
  <si>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</si>
  <si>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</si>
  <si>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</si>
  <si>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</si>
  <si>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</si>
  <si>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</si>
  <si>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</si>
  <si>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</si>
  <si>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</si>
  <si>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</si>
  <si>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</si>
  <si>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</si>
  <si>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</si>
  <si>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</si>
  <si>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</si>
  <si>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</si>
  <si>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</si>
  <si>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</si>
  <si>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</si>
  <si>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</si>
  <si>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</si>
  <si>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</si>
  <si>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</si>
  <si>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</si>
  <si>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</si>
  <si>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</si>
  <si>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</si>
  <si>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</si>
  <si>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</si>
  <si>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</si>
  <si>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</si>
  <si>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</si>
  <si>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</si>
  <si>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</si>
  <si>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</si>
  <si>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</si>
  <si>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</si>
  <si>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</si>
  <si>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</si>
  <si>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</si>
  <si>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</si>
  <si>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</si>
  <si>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</si>
  <si>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</si>
  <si>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</si>
  <si>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</si>
  <si>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</si>
  <si>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</si>
  <si>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</si>
  <si>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</si>
  <si>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</si>
  <si>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</si>
  <si>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</si>
  <si>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</si>
  <si>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</si>
  <si>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</si>
  <si>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</si>
  <si>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</si>
  <si>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</si>
  <si>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</si>
  <si>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</si>
  <si>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</si>
  <si>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</si>
  <si>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</si>
  <si>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</si>
  <si>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</si>
  <si>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</si>
  <si>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</si>
  <si>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</si>
  <si>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</si>
  <si>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</si>
  <si>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</si>
  <si>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</si>
  <si>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</si>
  <si>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</si>
  <si>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</si>
  <si>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</si>
  <si>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</si>
  <si>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</si>
  <si>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</si>
  <si>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</si>
  <si>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</si>
  <si>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</si>
  <si>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</si>
  <si>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</si>
  <si>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</si>
  <si>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</si>
  <si>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</si>
  <si>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</si>
  <si>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</si>
  <si>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</si>
  <si>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</si>
  <si>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</si>
  <si>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</si>
  <si>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</si>
  <si>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</si>
  <si>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</si>
  <si>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</si>
  <si>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</si>
  <si>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</si>
  <si>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</si>
  <si>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</si>
  <si>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</si>
  <si>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</si>
  <si>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</si>
  <si>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</si>
  <si>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</si>
  <si>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</si>
  <si>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</si>
  <si>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</si>
  <si>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</si>
  <si>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</si>
  <si>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</si>
  <si>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</si>
  <si>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</si>
  <si>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</si>
  <si>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</si>
  <si>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</si>
  <si>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</si>
  <si>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</si>
  <si>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</si>
  <si>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</si>
  <si>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</si>
  <si>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</si>
  <si>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</si>
  <si>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</si>
  <si>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</si>
  <si>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</si>
  <si>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</si>
  <si>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</si>
  <si>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</si>
  <si>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</si>
  <si>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</si>
  <si>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</si>
  <si>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</si>
  <si>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</si>
  <si>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</si>
  <si>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</si>
  <si>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</si>
  <si>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</si>
  <si>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</si>
  <si>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</si>
  <si>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</si>
  <si>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</si>
  <si>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</si>
  <si>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</si>
  <si>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</si>
  <si>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</si>
  <si>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</si>
  <si>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</si>
  <si>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</si>
  <si>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</si>
  <si>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</si>
  <si>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</si>
  <si>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</si>
  <si>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</si>
  <si>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</si>
  <si>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</si>
  <si>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</si>
  <si>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</si>
  <si>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</si>
  <si>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</si>
  <si>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</si>
  <si>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</si>
  <si>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</si>
  <si>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</si>
  <si>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</si>
  <si>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</si>
  <si>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</si>
  <si>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</si>
  <si>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</si>
  <si>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</si>
  <si>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</si>
  <si>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</si>
  <si>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</si>
  <si>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</si>
  <si>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</si>
  <si>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</si>
  <si>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</si>
  <si>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</si>
  <si>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</si>
  <si>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</si>
  <si>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</si>
  <si>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</si>
  <si>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</si>
  <si>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</si>
  <si>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</si>
  <si>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</si>
  <si>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</si>
  <si>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</si>
  <si>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</si>
  <si>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</si>
  <si>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</si>
  <si>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</si>
  <si>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</si>
  <si>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</si>
  <si>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</si>
  <si>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</si>
  <si>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</si>
  <si>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</si>
  <si>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</si>
  <si>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</si>
  <si>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</si>
  <si>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</si>
  <si>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</si>
  <si>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</si>
  <si>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</si>
  <si>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</si>
  <si>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</si>
  <si>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</si>
  <si>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</si>
  <si>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</si>
  <si>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</si>
  <si>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</si>
  <si>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</si>
  <si>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</si>
  <si>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</si>
  <si>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</si>
  <si>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</si>
  <si>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</si>
  <si>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</si>
  <si>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</si>
  <si>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</si>
  <si>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</si>
  <si>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</si>
  <si>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</si>
  <si>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</si>
  <si>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</si>
  <si>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</si>
  <si>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</si>
  <si>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</si>
  <si>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</si>
  <si>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</si>
  <si>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</si>
  <si>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</si>
  <si>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</si>
  <si>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</si>
  <si>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</si>
  <si>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</si>
  <si>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</si>
  <si>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</si>
  <si>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</si>
  <si>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</si>
  <si>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</si>
  <si>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</si>
  <si>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</si>
  <si>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</si>
  <si>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</si>
  <si>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</si>
  <si>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</si>
  <si>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</si>
  <si>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</si>
  <si>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</si>
  <si>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</si>
  <si>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</si>
  <si>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</si>
  <si>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</si>
  <si>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</si>
  <si>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</si>
  <si>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</si>
  <si>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</si>
  <si>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</si>
  <si>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</si>
  <si>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</si>
  <si>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</si>
  <si>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</si>
  <si>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</si>
  <si>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</si>
  <si>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</si>
  <si>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</si>
  <si>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</si>
  <si>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</si>
  <si>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</si>
  <si>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</si>
  <si>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</si>
  <si>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</si>
  <si>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</si>
  <si>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</si>
  <si>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</si>
  <si>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</si>
  <si>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</si>
  <si>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</si>
  <si>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</si>
  <si>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</si>
  <si>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</si>
  <si>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</si>
  <si>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</si>
  <si>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</si>
  <si>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</si>
  <si>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</si>
  <si>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</si>
  <si>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</si>
  <si>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</si>
  <si>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</si>
  <si>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</si>
  <si>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</si>
  <si>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</si>
  <si>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</si>
  <si>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</si>
  <si>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</si>
  <si>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</si>
  <si>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</si>
  <si>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</si>
  <si>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</si>
  <si>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</si>
  <si>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</si>
  <si>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</si>
  <si>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</si>
  <si>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</si>
  <si>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</si>
  <si>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</si>
  <si>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</si>
  <si>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</si>
  <si>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</si>
  <si>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</si>
  <si>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</si>
  <si>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</si>
  <si>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</si>
  <si>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</si>
  <si>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</si>
  <si>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</si>
  <si>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</si>
  <si>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</si>
  <si>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</si>
  <si>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</si>
  <si>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</si>
  <si>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</si>
  <si>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</si>
  <si>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</si>
  <si>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</si>
  <si>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</si>
  <si>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</si>
  <si>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</si>
  <si>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</si>
  <si>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</si>
  <si>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</si>
  <si>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</si>
  <si>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</si>
  <si>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</si>
  <si>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</si>
  <si>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</si>
  <si>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</si>
  <si>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</si>
  <si>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</si>
  <si>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</si>
  <si>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</si>
  <si>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</si>
  <si>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</si>
  <si>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</si>
  <si>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</si>
  <si>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</si>
  <si>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</si>
  <si>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</si>
  <si>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</si>
  <si>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</si>
  <si>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</si>
  <si>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</si>
  <si>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</si>
  <si>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</si>
  <si>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</si>
  <si>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</si>
  <si>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</si>
  <si>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</si>
  <si>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</si>
  <si>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</si>
  <si>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</si>
  <si>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</si>
  <si>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</si>
  <si>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</si>
  <si>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</si>
  <si>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</si>
  <si>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</si>
  <si>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</si>
  <si>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</si>
  <si>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</si>
  <si>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</si>
  <si>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</si>
  <si>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</si>
  <si>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</si>
  <si>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</si>
  <si>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</si>
  <si>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</si>
  <si>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</si>
  <si>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</si>
  <si>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</si>
  <si>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</si>
  <si>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</si>
  <si>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</si>
  <si>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</si>
  <si>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</si>
  <si>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</si>
  <si>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</si>
  <si>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</si>
  <si>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</si>
  <si>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</si>
  <si>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</si>
  <si>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</si>
  <si>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</si>
  <si>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</si>
  <si>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</si>
  <si>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</si>
  <si>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</si>
  <si>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</si>
  <si>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</si>
  <si>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</si>
  <si>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</si>
  <si>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</si>
  <si>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</si>
  <si>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</si>
  <si>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</si>
  <si>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</si>
  <si>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</si>
  <si>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</si>
  <si>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</si>
  <si>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</si>
  <si>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</si>
  <si>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</si>
  <si>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</si>
  <si>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</si>
  <si>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</si>
  <si>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</si>
  <si>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</si>
  <si>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</si>
  <si>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</si>
  <si>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</si>
  <si>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</si>
  <si>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</si>
  <si>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</si>
  <si>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</si>
  <si>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</si>
  <si>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</si>
  <si>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</si>
  <si>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</si>
  <si>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</si>
  <si>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</si>
  <si>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</si>
  <si>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</si>
  <si>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</si>
  <si>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</si>
  <si>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</si>
  <si>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</si>
  <si>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</si>
  <si>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</si>
  <si>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</si>
  <si>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</si>
  <si>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</si>
  <si>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</si>
  <si>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</si>
  <si>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</si>
  <si>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</si>
  <si>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</si>
  <si>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</si>
  <si>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</si>
  <si>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</si>
  <si>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</si>
  <si>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</si>
  <si>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</si>
  <si>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</si>
  <si>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</si>
  <si>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</si>
  <si>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</si>
  <si>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</si>
  <si>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</si>
  <si>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</si>
  <si>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</si>
  <si>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</si>
  <si>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</si>
  <si>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</si>
  <si>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</si>
  <si>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</si>
  <si>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</si>
  <si>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</si>
  <si>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</si>
  <si>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</si>
  <si>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</si>
  <si>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</si>
  <si>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</si>
  <si>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</si>
  <si>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</si>
  <si>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</si>
  <si>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</si>
  <si>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</si>
  <si>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</si>
  <si>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</si>
  <si>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</si>
  <si>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</si>
  <si>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</si>
  <si>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</si>
  <si>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</si>
  <si>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</si>
  <si>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</si>
  <si>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</si>
  <si>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</si>
  <si>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</si>
  <si>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</si>
  <si>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</si>
  <si>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</si>
  <si>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</si>
  <si>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</si>
  <si>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</si>
  <si>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</si>
  <si>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</si>
  <si>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</si>
  <si>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</si>
  <si>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</si>
  <si>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</si>
  <si>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</si>
  <si>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</si>
  <si>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</si>
  <si>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</si>
  <si>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</si>
  <si>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</si>
  <si>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</si>
  <si>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</si>
  <si>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</si>
  <si>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</si>
  <si>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</si>
  <si>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</si>
  <si>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</si>
  <si>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</si>
  <si>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</si>
  <si>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</si>
  <si>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</si>
  <si>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</si>
  <si>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</si>
  <si>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</si>
  <si>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</si>
  <si>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</si>
  <si>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</si>
  <si>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</si>
  <si>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</si>
  <si>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</si>
  <si>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</si>
  <si>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</si>
  <si>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</si>
  <si>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</si>
  <si>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</si>
  <si>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</si>
  <si>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</si>
  <si>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</si>
  <si>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</si>
  <si>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</si>
  <si>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</si>
  <si>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</si>
  <si>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</si>
  <si>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</si>
  <si>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</si>
  <si>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</si>
  <si>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</si>
  <si>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</si>
  <si>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</si>
  <si>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</si>
  <si>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</si>
  <si>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</si>
  <si>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</si>
  <si>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</si>
  <si>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</si>
  <si>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</si>
  <si>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</si>
  <si>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</si>
  <si>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</si>
  <si>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</si>
  <si>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</si>
  <si>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</si>
  <si>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</si>
  <si>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</si>
  <si>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</si>
  <si>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</si>
  <si>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</si>
  <si>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</si>
  <si>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</si>
  <si>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</si>
  <si>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</si>
  <si>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</si>
  <si>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</si>
  <si>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</si>
  <si>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</si>
  <si>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</si>
  <si>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</si>
  <si>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</si>
  <si>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</si>
  <si>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</si>
  <si>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</si>
  <si>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</si>
  <si>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</si>
  <si>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</si>
  <si>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</si>
  <si>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</si>
  <si>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</si>
  <si>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</si>
  <si>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</si>
  <si>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</si>
  <si>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</si>
  <si>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</si>
  <si>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</si>
  <si>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</si>
  <si>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</si>
  <si>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</si>
  <si>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</si>
  <si>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</si>
  <si>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</si>
  <si>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</si>
  <si>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</si>
  <si>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</si>
  <si>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</si>
  <si>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</si>
  <si>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</si>
  <si>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</si>
  <si>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</si>
  <si>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</si>
  <si>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</si>
  <si>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</si>
  <si>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</si>
  <si>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</si>
  <si>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</si>
  <si>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</si>
  <si>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</si>
  <si>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</si>
  <si>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</si>
  <si>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</si>
  <si>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</si>
  <si>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</si>
  <si>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</si>
  <si>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</si>
  <si>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</si>
  <si>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</si>
  <si>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</si>
  <si>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</si>
  <si>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</si>
  <si>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</si>
  <si>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</si>
  <si>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</si>
  <si>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</si>
  <si>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</si>
  <si>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</si>
  <si>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</si>
  <si>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</si>
  <si>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</si>
  <si>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</si>
  <si>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</si>
  <si>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</si>
  <si>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</si>
  <si>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</si>
  <si>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</si>
  <si>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</si>
  <si>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</si>
  <si>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</si>
  <si>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</si>
  <si>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</si>
  <si>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</si>
  <si>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</si>
  <si>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</si>
  <si>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</si>
  <si>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</si>
  <si>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</si>
  <si>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</si>
  <si>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</si>
  <si>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</si>
  <si>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</si>
  <si>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</si>
  <si>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</si>
  <si>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</si>
  <si>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</si>
  <si>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</si>
  <si>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</si>
  <si>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</si>
  <si>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</si>
  <si>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</si>
  <si>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</si>
  <si>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</si>
  <si>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</si>
  <si>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</si>
  <si>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</si>
  <si>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</si>
  <si>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</si>
  <si>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</si>
  <si>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</si>
  <si>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</si>
  <si>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</si>
  <si>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</si>
  <si>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</si>
  <si>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</si>
  <si>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</si>
  <si>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</si>
  <si>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</si>
  <si>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</si>
  <si>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</si>
  <si>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</si>
  <si>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</si>
  <si>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</si>
  <si>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</si>
  <si>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</si>
  <si>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</si>
  <si>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</si>
  <si>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</si>
  <si>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</si>
  <si>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</si>
  <si>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</si>
  <si>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</si>
  <si>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</si>
  <si>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</si>
  <si>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</si>
  <si>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</si>
  <si>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</si>
  <si>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</si>
  <si>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</si>
  <si>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</si>
  <si>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</si>
  <si>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</si>
  <si>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</si>
  <si>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</si>
  <si>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</si>
  <si>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</si>
  <si>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</si>
  <si>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</si>
  <si>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</si>
  <si>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</si>
  <si>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</si>
  <si>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</si>
  <si>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</si>
  <si>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</si>
  <si>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</si>
  <si>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</si>
  <si>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</si>
  <si>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</si>
  <si>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</si>
  <si>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</si>
  <si>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</si>
  <si>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</si>
  <si>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</si>
  <si>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</si>
  <si>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</si>
  <si>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</si>
  <si>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</si>
  <si>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</si>
  <si>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</si>
  <si>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</si>
  <si>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</si>
  <si>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</si>
  <si>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</si>
  <si>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</si>
  <si>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</si>
  <si>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</si>
  <si>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</si>
  <si>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</si>
  <si>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</si>
  <si>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</si>
  <si>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</si>
  <si>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</si>
  <si>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</si>
  <si>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</si>
  <si>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</si>
  <si>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</si>
  <si>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</si>
  <si>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</si>
  <si>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</si>
  <si>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</si>
  <si>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</si>
  <si>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</si>
  <si>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</si>
  <si>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</si>
  <si>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</si>
  <si>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</si>
  <si>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</si>
  <si>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</si>
  <si>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</si>
  <si>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</si>
  <si>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</si>
  <si>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</si>
  <si>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</si>
  <si>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</si>
  <si>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</si>
  <si>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</si>
  <si>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</si>
  <si>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</si>
  <si>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</si>
  <si>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</si>
  <si>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</si>
  <si>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</si>
  <si>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</si>
  <si>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</si>
  <si>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</si>
  <si>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</si>
  <si>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</si>
  <si>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</si>
  <si>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</si>
  <si>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</si>
  <si>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</si>
  <si>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</si>
  <si>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</si>
  <si>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</si>
  <si>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</si>
  <si>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</si>
  <si>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</si>
  <si>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</si>
  <si>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</si>
  <si>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</si>
  <si>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</si>
  <si>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</si>
  <si>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</si>
  <si>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</si>
  <si>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</si>
  <si>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</si>
  <si>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</si>
  <si>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</si>
  <si>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</si>
  <si>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</si>
  <si>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</si>
  <si>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</si>
  <si>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</si>
  <si>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</si>
  <si>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</si>
  <si>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</si>
  <si>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</si>
  <si>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</si>
  <si>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</si>
  <si>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</si>
  <si>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</si>
  <si>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</si>
  <si>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</si>
  <si>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</si>
  <si>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</si>
  <si>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</si>
  <si>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</si>
  <si>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</si>
  <si>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</si>
  <si>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</si>
  <si>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</si>
  <si>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</si>
  <si>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</si>
  <si>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</si>
  <si>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</si>
  <si>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</si>
  <si>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</si>
  <si>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</si>
  <si>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</si>
  <si>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</si>
  <si>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</si>
  <si>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</si>
  <si>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</si>
  <si>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</si>
  <si>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</si>
  <si>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</si>
  <si>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</si>
  <si>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</si>
  <si>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</si>
  <si>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</si>
  <si>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</si>
  <si>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</si>
  <si>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</si>
  <si>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</si>
  <si>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</si>
  <si>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</si>
  <si>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</si>
  <si>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</si>
  <si>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</si>
  <si>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</si>
  <si>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</si>
  <si>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</si>
  <si>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</si>
  <si>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</si>
  <si>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</si>
  <si>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</si>
  <si>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</si>
  <si>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</si>
  <si>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</si>
  <si>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</si>
  <si>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</si>
  <si>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</si>
  <si>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</si>
  <si>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</si>
  <si>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</si>
  <si>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</si>
  <si>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</si>
  <si>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</si>
  <si>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</si>
  <si>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</si>
  <si>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</si>
  <si>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</si>
  <si>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</si>
  <si>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</si>
  <si>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</si>
  <si>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</si>
  <si>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</si>
  <si>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</si>
  <si>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</si>
  <si>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</si>
  <si>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</si>
  <si>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</si>
  <si>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</si>
  <si>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</si>
  <si>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</si>
  <si>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</si>
  <si>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</si>
  <si>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</si>
  <si>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</si>
  <si>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</si>
  <si>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</si>
  <si>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</si>
  <si>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</si>
  <si>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</si>
  <si>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</si>
  <si>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</si>
  <si>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</si>
  <si>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</si>
  <si>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</si>
  <si>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</si>
  <si>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</si>
  <si>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</si>
  <si>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</si>
  <si>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</si>
  <si>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</si>
  <si>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</si>
  <si>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</si>
  <si>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</si>
  <si>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</si>
  <si>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</si>
  <si>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</si>
  <si>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</si>
  <si>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</si>
  <si>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</si>
  <si>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</si>
  <si>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</si>
  <si>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</si>
  <si>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</si>
  <si>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</si>
  <si>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</si>
  <si>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</si>
  <si>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</si>
  <si>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</si>
  <si>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</si>
  <si>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</si>
  <si>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</si>
  <si>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</si>
  <si>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</si>
  <si>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</si>
  <si>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</si>
  <si>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</si>
  <si>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</si>
  <si>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</si>
  <si>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</si>
  <si>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</si>
  <si>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</si>
  <si>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</si>
  <si>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</si>
  <si>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</si>
  <si>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</si>
  <si>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</si>
  <si>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</si>
  <si>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</si>
  <si>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</si>
  <si>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</si>
  <si>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</si>
  <si>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</si>
  <si>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</si>
  <si>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</si>
  <si>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</si>
  <si>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</si>
  <si>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</si>
  <si>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</si>
  <si>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</si>
  <si>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</si>
  <si>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</si>
  <si>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</si>
  <si>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</si>
  <si>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</si>
  <si>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</si>
  <si>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</si>
  <si>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</si>
  <si>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</si>
  <si>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</si>
  <si>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</si>
  <si>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</si>
  <si>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</si>
  <si>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</si>
  <si>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</si>
  <si>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</si>
  <si>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</si>
  <si>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</si>
  <si>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</si>
  <si>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</si>
  <si>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</si>
  <si>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</si>
  <si>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</si>
  <si>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</si>
  <si>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</si>
  <si>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</si>
  <si>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</si>
  <si>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</si>
  <si>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</si>
  <si>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</si>
  <si>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</si>
  <si>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</si>
  <si>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</si>
  <si>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</si>
  <si>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</si>
  <si>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</si>
  <si>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</si>
  <si>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</si>
  <si>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</si>
  <si>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</si>
  <si>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</si>
  <si>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</si>
  <si>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</si>
  <si>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</si>
  <si>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</si>
  <si>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</si>
  <si>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</si>
  <si>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</si>
  <si>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</si>
  <si>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</si>
  <si>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</si>
  <si>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</si>
  <si>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</si>
  <si>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</si>
  <si>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</si>
  <si>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</si>
  <si>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</si>
  <si>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</si>
  <si>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</si>
  <si>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</si>
  <si>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</si>
  <si>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</si>
  <si>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</si>
  <si>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</si>
  <si>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</si>
  <si>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</si>
  <si>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</si>
  <si>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</si>
  <si>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</si>
  <si>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</si>
  <si>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</si>
  <si>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</si>
  <si>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</si>
  <si>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</si>
  <si>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</si>
  <si>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</si>
  <si>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</si>
  <si>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</si>
  <si>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</si>
  <si>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</si>
  <si>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</si>
  <si>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</si>
  <si>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</si>
  <si>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</si>
  <si>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</si>
  <si>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</si>
  <si>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</si>
  <si>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</si>
  <si>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</si>
  <si>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</si>
  <si>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</si>
  <si>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</si>
  <si>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</si>
  <si>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</si>
  <si>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</si>
  <si>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</si>
  <si>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</si>
  <si>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</si>
  <si>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</si>
  <si>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</si>
  <si>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</si>
  <si>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</si>
  <si>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</si>
  <si>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</si>
  <si>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</si>
  <si>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</si>
  <si>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</si>
  <si>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</si>
  <si>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</si>
  <si>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</si>
  <si>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</si>
  <si>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</si>
  <si>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</si>
  <si>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</si>
  <si>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</si>
  <si>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</si>
  <si>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</si>
  <si>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</si>
  <si>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</si>
  <si>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</si>
  <si>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</si>
  <si>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</si>
  <si>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</si>
  <si>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</si>
  <si>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</si>
  <si>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</si>
  <si>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</si>
  <si>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</si>
  <si>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</si>
  <si>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</si>
  <si>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</si>
  <si>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</si>
  <si>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</si>
  <si>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</si>
  <si>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</si>
  <si>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</si>
  <si>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</si>
  <si>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</si>
  <si>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</si>
  <si>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</si>
  <si>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</si>
  <si>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</si>
  <si>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</si>
  <si>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</si>
  <si>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</si>
  <si>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</si>
  <si>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</si>
  <si>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</si>
  <si>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</si>
  <si>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</si>
  <si>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</si>
  <si>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</si>
  <si>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</si>
  <si>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</si>
  <si>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</si>
  <si>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</si>
  <si>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</si>
  <si>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</si>
  <si>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</si>
  <si>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</si>
  <si>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</si>
  <si>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</si>
  <si>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</si>
  <si>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</si>
  <si>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</si>
  <si>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</si>
  <si>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</si>
  <si>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</si>
  <si>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</si>
  <si>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</si>
  <si>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</si>
  <si>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</si>
  <si>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</si>
  <si>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</si>
  <si>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</si>
  <si>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</si>
  <si>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</si>
  <si>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</si>
  <si>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</si>
  <si>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</si>
  <si>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</si>
  <si>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</si>
  <si>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</si>
  <si>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</si>
  <si>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</si>
  <si>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</si>
  <si>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</si>
  <si>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</si>
  <si>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</si>
  <si>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</si>
  <si>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</si>
  <si>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</si>
  <si>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</si>
  <si>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</si>
  <si>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</si>
  <si>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</si>
  <si>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</si>
  <si>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</si>
  <si>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</si>
  <si>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</si>
  <si>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</si>
  <si>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</si>
  <si>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</si>
  <si>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</si>
  <si>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</si>
  <si>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</si>
  <si>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</si>
  <si>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</si>
  <si>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</si>
  <si>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</si>
  <si>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</si>
  <si>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</si>
  <si>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</si>
  <si>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</si>
  <si>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</si>
  <si>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</si>
  <si>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</si>
  <si>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</si>
  <si>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</si>
  <si>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</si>
  <si>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</si>
  <si>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</si>
  <si>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</si>
  <si>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</si>
  <si>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</si>
  <si>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</si>
  <si>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</si>
  <si>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</si>
  <si>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</si>
  <si>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</si>
  <si>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</si>
  <si>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</si>
  <si>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</si>
  <si>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</si>
  <si>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</si>
  <si>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</si>
  <si>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</si>
  <si>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</si>
  <si>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</si>
  <si>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</si>
  <si>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</si>
  <si>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</si>
  <si>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</si>
  <si>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</si>
  <si>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</si>
  <si>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</si>
  <si>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</si>
  <si>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</si>
  <si>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</si>
  <si>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</si>
  <si>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</si>
  <si>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</si>
  <si>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</si>
  <si>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</si>
  <si>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</si>
  <si>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</si>
  <si>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</si>
  <si>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</si>
  <si>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</si>
  <si>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</si>
  <si>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</si>
  <si>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</si>
  <si>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</si>
  <si>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</si>
  <si>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</si>
  <si>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</si>
  <si>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</si>
  <si>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</si>
  <si>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</si>
  <si>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</si>
  <si>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</si>
  <si>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</si>
  <si>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</si>
  <si>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</si>
  <si>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</si>
  <si>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</si>
  <si>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</si>
  <si>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</si>
  <si>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</si>
  <si>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</si>
  <si>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</si>
  <si>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</si>
  <si>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</si>
  <si>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</si>
  <si>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</si>
  <si>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</si>
  <si>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</si>
  <si>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</si>
  <si>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</si>
  <si>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</si>
  <si>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</si>
  <si>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</si>
  <si>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</si>
  <si>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</si>
  <si>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</si>
  <si>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</si>
  <si>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</si>
  <si>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</si>
  <si>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</si>
  <si>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</si>
  <si>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</si>
  <si>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</si>
  <si>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</si>
  <si>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</si>
  <si>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</si>
  <si>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</si>
  <si>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</si>
  <si>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</si>
  <si>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</si>
  <si>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</si>
  <si>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</si>
  <si>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</si>
  <si>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</si>
  <si>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</si>
  <si>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</si>
  <si>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</si>
  <si>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</si>
  <si>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</si>
  <si>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</si>
  <si>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</si>
  <si>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</si>
  <si>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</si>
  <si>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</si>
  <si>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</si>
  <si>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</si>
  <si>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</si>
  <si>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</si>
  <si>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</si>
  <si>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</si>
  <si>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</si>
  <si>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</si>
  <si>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</si>
  <si>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</si>
  <si>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</si>
  <si>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</si>
  <si>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</si>
  <si>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</si>
  <si>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</si>
  <si>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</si>
  <si>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</si>
  <si>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</si>
  <si>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</si>
  <si>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</si>
  <si>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</si>
  <si>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</si>
  <si>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</si>
  <si>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</si>
  <si>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</si>
  <si>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</si>
  <si>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</si>
  <si>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</si>
  <si>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</si>
  <si>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</si>
  <si>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</si>
  <si>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</si>
  <si>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</si>
  <si>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</si>
  <si>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</si>
  <si>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</si>
  <si>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</si>
  <si>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</si>
  <si>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</si>
  <si>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</si>
  <si>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</si>
  <si>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</si>
  <si>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</si>
  <si>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</si>
  <si>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</si>
  <si>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</si>
  <si>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</si>
  <si>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</si>
  <si>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</si>
  <si>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</si>
  <si>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</si>
  <si>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</si>
  <si>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</si>
  <si>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</si>
  <si>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</si>
  <si>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</si>
  <si>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</si>
  <si>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</si>
  <si>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</si>
  <si>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</si>
  <si>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</si>
  <si>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</si>
  <si>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</si>
  <si>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</si>
  <si>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</si>
  <si>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</si>
  <si>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</si>
  <si>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</si>
  <si>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</si>
  <si>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</si>
  <si>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</si>
  <si>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</si>
  <si>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</si>
  <si>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</si>
  <si>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</si>
  <si>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</si>
  <si>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</si>
  <si>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</si>
  <si>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</si>
  <si>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</si>
  <si>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</si>
  <si>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</si>
  <si>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</si>
  <si>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</si>
  <si>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</si>
  <si>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</si>
  <si>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</si>
  <si>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</si>
  <si>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</si>
  <si>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</si>
  <si>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</si>
  <si>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</si>
  <si>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</si>
  <si>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</si>
  <si>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</si>
  <si>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</si>
  <si>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</si>
  <si>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</si>
  <si>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</si>
  <si>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</si>
  <si>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</si>
  <si>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</si>
  <si>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</si>
  <si>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</si>
  <si>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</si>
  <si>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</si>
  <si>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</si>
  <si>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</si>
  <si>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</si>
  <si>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</si>
  <si>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</si>
  <si>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</si>
  <si>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</si>
  <si>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</si>
  <si>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</si>
  <si>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</si>
  <si>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</si>
  <si>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</si>
  <si>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</si>
  <si>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</si>
  <si>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</si>
  <si>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</si>
  <si>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</si>
  <si>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</si>
  <si>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</si>
  <si>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</si>
  <si>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</si>
  <si>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</si>
  <si>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</si>
  <si>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</si>
  <si>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</si>
  <si>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</si>
  <si>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</si>
  <si>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</si>
  <si>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</si>
  <si>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</si>
  <si>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</si>
  <si>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</si>
  <si>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</si>
  <si>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</si>
  <si>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</si>
  <si>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</si>
  <si>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</si>
  <si>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</si>
  <si>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</si>
  <si>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</si>
  <si>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</si>
  <si>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</si>
  <si>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</si>
  <si>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</si>
  <si>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</si>
  <si>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</si>
  <si>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</si>
  <si>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</si>
  <si>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</si>
  <si>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</si>
  <si>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</si>
  <si>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</si>
  <si>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</si>
  <si>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</si>
  <si>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</si>
  <si>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</si>
  <si>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</si>
  <si>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</si>
  <si>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</si>
  <si>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</si>
  <si>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</si>
  <si>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</si>
  <si>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</si>
  <si>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</si>
  <si>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</si>
  <si>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</si>
  <si>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</si>
  <si>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</si>
  <si>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</si>
  <si>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</si>
  <si>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</si>
  <si>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</si>
  <si>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</si>
  <si>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</si>
  <si>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</si>
  <si>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</si>
  <si>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</si>
  <si>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</si>
  <si>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</si>
  <si>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</si>
  <si>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</si>
  <si>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</si>
  <si>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</si>
  <si>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</si>
  <si>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</si>
  <si>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</si>
  <si>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</si>
  <si>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</si>
  <si>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</si>
  <si>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</si>
  <si>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</si>
  <si>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</si>
  <si>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</si>
  <si>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</si>
  <si>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</si>
  <si>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</si>
  <si>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</si>
  <si>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</si>
  <si>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</si>
  <si>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</si>
  <si>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</si>
  <si>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</si>
  <si>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</si>
  <si>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</si>
  <si>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</si>
  <si>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</si>
  <si>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</si>
  <si>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</si>
  <si>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</si>
  <si>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</si>
  <si>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</si>
  <si>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</si>
  <si>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</si>
  <si>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</si>
  <si>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</si>
  <si>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</si>
  <si>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</si>
  <si>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</si>
  <si>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</si>
  <si>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</si>
  <si>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</si>
  <si>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</si>
  <si>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</si>
  <si>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</si>
  <si>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</si>
  <si>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</si>
  <si>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</si>
  <si>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</si>
  <si>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</si>
  <si>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</si>
  <si>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</si>
  <si>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</si>
  <si>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</si>
  <si>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</si>
  <si>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</si>
  <si>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</si>
  <si>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</si>
  <si>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</si>
  <si>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</si>
  <si>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</si>
  <si>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</si>
  <si>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</si>
  <si>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</si>
  <si>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</si>
  <si>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</si>
  <si>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</si>
  <si>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</si>
  <si>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</si>
  <si>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</si>
  <si>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</si>
  <si>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</si>
  <si>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</si>
  <si>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</si>
  <si>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</si>
  <si>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</si>
  <si>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</si>
  <si>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</si>
  <si>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</si>
  <si>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</si>
  <si>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</si>
  <si>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</si>
  <si>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</si>
  <si>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</si>
  <si>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</si>
  <si>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</si>
  <si>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</si>
  <si>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</si>
  <si>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</si>
  <si>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</si>
  <si>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</si>
  <si>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</si>
  <si>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</si>
  <si>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</si>
  <si>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</si>
  <si>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</si>
  <si>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</si>
  <si>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</si>
  <si>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</si>
  <si>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</si>
  <si>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</si>
  <si>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</si>
  <si>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</si>
  <si>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</si>
  <si>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</si>
  <si>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</si>
  <si>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</si>
  <si>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</si>
  <si>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</si>
  <si>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</si>
  <si>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</si>
  <si>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</si>
  <si>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</si>
  <si>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</si>
  <si>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</si>
  <si>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</si>
  <si>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</si>
  <si>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</si>
  <si>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</si>
  <si>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</si>
  <si>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</si>
  <si>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</si>
  <si>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</si>
  <si>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</si>
  <si>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</si>
  <si>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</si>
  <si>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</si>
  <si>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</si>
  <si>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</si>
  <si>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</si>
  <si>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</si>
  <si>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</si>
  <si>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</si>
  <si>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</si>
  <si>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</si>
  <si>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</si>
  <si>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</si>
  <si>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</si>
  <si>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</si>
  <si>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</si>
  <si>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</si>
  <si>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</si>
  <si>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</si>
  <si>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</si>
  <si>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</si>
  <si>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</si>
  <si>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</si>
  <si>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</si>
  <si>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</si>
  <si>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</si>
  <si>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</si>
  <si>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</si>
  <si>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</si>
  <si>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</si>
  <si>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</si>
  <si>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</si>
  <si>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</si>
  <si>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</si>
  <si>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</si>
  <si>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</si>
  <si>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</si>
  <si>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</si>
  <si>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</si>
  <si>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</si>
  <si>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</si>
  <si>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</si>
  <si>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</si>
  <si>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</si>
  <si>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</si>
  <si>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</si>
  <si>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</si>
  <si>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</si>
  <si>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</si>
  <si>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</si>
  <si>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</si>
  <si>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</si>
  <si>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</si>
  <si>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</si>
  <si>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</si>
  <si>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</si>
  <si>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</si>
  <si>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</si>
  <si>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</si>
  <si>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</si>
  <si>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</si>
  <si>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</si>
  <si>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</si>
  <si>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</si>
  <si>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</si>
  <si>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</si>
  <si>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</si>
  <si>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</si>
  <si>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</si>
  <si>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</si>
  <si>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</si>
  <si>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</si>
  <si>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</si>
  <si>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</si>
  <si>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</si>
  <si>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</si>
  <si>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</si>
  <si>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</si>
  <si>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</si>
  <si>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</si>
  <si>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</si>
  <si>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</si>
  <si>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</si>
  <si>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</si>
  <si>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</si>
  <si>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</si>
  <si>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</si>
  <si>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</si>
  <si>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</si>
  <si>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</si>
  <si>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</si>
  <si>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</si>
  <si>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</si>
  <si>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</si>
  <si>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</si>
  <si>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</si>
  <si>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</si>
  <si>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</si>
  <si>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</si>
  <si>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</si>
  <si>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</si>
  <si>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</si>
  <si>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</si>
  <si>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</si>
  <si>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</si>
  <si>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</si>
  <si>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</si>
  <si>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</si>
  <si>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</si>
  <si>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</si>
  <si>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</si>
  <si>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</si>
  <si>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</si>
  <si>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</si>
  <si>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</si>
  <si>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</si>
  <si>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</si>
  <si>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</si>
  <si>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</si>
  <si>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</si>
  <si>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</si>
  <si>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</si>
  <si>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</si>
  <si>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</si>
  <si>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</si>
  <si>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</si>
  <si>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</si>
  <si>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</si>
  <si>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</si>
  <si>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</si>
  <si>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</si>
  <si>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</si>
  <si>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</si>
  <si>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</si>
  <si>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</si>
  <si>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</si>
  <si>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</si>
  <si>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</si>
  <si>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</si>
  <si>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</si>
  <si>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</si>
  <si>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</si>
  <si>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</si>
  <si>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</si>
  <si>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</si>
  <si>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</si>
  <si>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</si>
  <si>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</si>
  <si>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</si>
  <si>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</si>
  <si>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</si>
  <si>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</si>
  <si>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</si>
  <si>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</si>
  <si>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</si>
  <si>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</si>
  <si>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</si>
  <si>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</si>
  <si>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</si>
  <si>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</si>
  <si>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</si>
  <si>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</si>
  <si>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</si>
  <si>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</si>
  <si>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</si>
  <si>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</si>
  <si>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</si>
  <si>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</si>
  <si>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</si>
  <si>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</si>
  <si>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</si>
  <si>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</si>
  <si>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</si>
  <si>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</si>
  <si>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</si>
  <si>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</si>
  <si>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</si>
  <si>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</si>
  <si>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</si>
  <si>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</si>
  <si>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</si>
  <si>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</si>
  <si>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</si>
  <si>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</si>
  <si>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</si>
  <si>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</si>
  <si>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</si>
  <si>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</si>
  <si>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</si>
  <si>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</si>
  <si>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</si>
  <si>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</si>
  <si>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</si>
  <si>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</si>
  <si>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</si>
  <si>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</si>
  <si>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</si>
  <si>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</si>
  <si>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</si>
  <si>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</si>
  <si>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</si>
  <si>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</si>
  <si>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</si>
  <si>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</si>
  <si>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</si>
  <si>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</si>
  <si>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</si>
  <si>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</si>
  <si>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</si>
  <si>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</si>
  <si>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</si>
  <si>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</si>
  <si>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</si>
  <si>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</si>
  <si>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</si>
  <si>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</si>
  <si>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</si>
  <si>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</si>
  <si>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</si>
  <si>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</si>
  <si>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</si>
  <si>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</si>
  <si>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</si>
  <si>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</si>
  <si>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</si>
  <si>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</si>
  <si>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</si>
  <si>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</si>
  <si>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</si>
  <si>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</si>
  <si>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</si>
  <si>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</si>
  <si>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</si>
  <si>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</si>
  <si>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</si>
  <si>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</si>
  <si>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</si>
  <si>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ARGENT DOUBLE</t>
  </si>
  <si>
    <t xml:space="preserve">ARGENT DOUBLE A AZILLE</t>
  </si>
  <si>
    <t xml:space="preserve">06179550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</si>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</sst>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9.64516129032258</v>
      </c>
      <c r="N5" s="324"/>
      <c r="O5" s="325" t="s">
        <v>134</v>
      </c>
      <c r="P5" s="326" t="n">
        <v>10.1851851851852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57</v>
      </c>
      <c r="C7" s="342" t="n">
        <v>43</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10.3529411764706</v>
      </c>
      <c r="P8" s="356" t="n">
        <f aca="false">IF(ISERROR(AVERAGE(K23:K82)),"  ",AVERAGE(K23:K82))</f>
        <v>1.41176470588235</v>
      </c>
      <c r="Q8" s="357"/>
      <c r="R8" s="281"/>
      <c r="S8" s="281"/>
      <c r="T8" s="281"/>
      <c r="U8" s="281"/>
      <c r="V8" s="281"/>
      <c r="W8" s="295"/>
      <c r="X8" s="0"/>
      <c r="Y8" s="0"/>
      <c r="Z8" s="0"/>
    </row>
    <row r="9" customFormat="false" ht="12.75" hidden="false" customHeight="false" outlineLevel="0" collapsed="false">
      <c r="A9" s="314" t="s">
        <v>3400</v>
      </c>
      <c r="B9" s="358" t="n">
        <v>15</v>
      </c>
      <c r="C9" s="359" t="n">
        <v>65</v>
      </c>
      <c r="D9" s="360"/>
      <c r="E9" s="360"/>
      <c r="F9" s="361" t="n">
        <f aca="false">($B9*$B$7+$C9*$C$7)/100</f>
        <v>36.5</v>
      </c>
      <c r="G9" s="362"/>
      <c r="H9" s="317"/>
      <c r="I9" s="281"/>
      <c r="J9" s="363"/>
      <c r="K9" s="364"/>
      <c r="L9" s="347"/>
      <c r="M9" s="365"/>
      <c r="N9" s="355" t="s">
        <v>3401</v>
      </c>
      <c r="O9" s="356" t="n">
        <f aca="false">IF(ISERROR(STDEVP(J23:J82))," ",STDEVP(J23:J82))</f>
        <v>2.69948091896089</v>
      </c>
      <c r="P9" s="356" t="n">
        <f aca="false">IF(ISERROR(STDEVP(K23:K82)),"  ",STDEVP(K23:K82))</f>
        <v>0.49215295678475</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7</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3</v>
      </c>
      <c r="M13" s="381"/>
      <c r="N13" s="389" t="s">
        <v>3414</v>
      </c>
      <c r="O13" s="390" t="n">
        <f aca="false">COUNTIF(F23:F82,"&gt;0")</f>
        <v>18</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1</v>
      </c>
      <c r="M14" s="381"/>
      <c r="N14" s="392" t="s">
        <v>3417</v>
      </c>
      <c r="O14" s="393" t="n">
        <f aca="false">COUNTIF($J$23:$J$82,"&gt;-1")</f>
        <v>17</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7</v>
      </c>
      <c r="M15" s="381"/>
      <c r="N15" s="389" t="s">
        <v>3420</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0.944444444444444</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15.46</v>
      </c>
      <c r="C20" s="433" t="n">
        <f aca="false">SUM(C23:C82)</f>
        <v>62.66</v>
      </c>
      <c r="D20" s="434"/>
      <c r="E20" s="435" t="s">
        <v>3427</v>
      </c>
      <c r="F20" s="436" t="n">
        <f aca="false">($B20*$B$7+$C20*$C$7)/100</f>
        <v>35.756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8.8122</v>
      </c>
      <c r="C21" s="444" t="n">
        <f aca="false">C20*C7/100</f>
        <v>26.9438</v>
      </c>
      <c r="D21" s="445" t="s">
        <v>3430</v>
      </c>
      <c r="E21" s="446"/>
      <c r="F21" s="447" t="n">
        <f aca="false">B21+C21</f>
        <v>35.756</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134</v>
      </c>
      <c r="B23" s="472" t="n">
        <v>15</v>
      </c>
      <c r="C23" s="473" t="n">
        <v>60</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34.35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34.35</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0.02</v>
      </c>
      <c r="C24" s="491"/>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0.0114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0.0114</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300</v>
      </c>
      <c r="B25" s="490" t="n">
        <v>0.1</v>
      </c>
      <c r="C25" s="491" t="n">
        <v>0.1</v>
      </c>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0.1</v>
      </c>
      <c r="S25" s="485" t="n">
        <f aca="false">IF(OR(ISTEXT(H25),R25=0),"",IF(R25&lt;0.1,1,IF(R25&lt;1,2,IF(R25&lt;10,3,IF(R25&lt;50,4,IF(R25&gt;=50,5,""))))))</f>
        <v>2</v>
      </c>
      <c r="T25" s="485" t="n">
        <f aca="false">IF(ISERROR(S25*J25),0,S25*J25)</f>
        <v>12</v>
      </c>
      <c r="U25" s="485" t="n">
        <f aca="false">IF(ISERROR(S25*J25*K25),0,S25*J25*K25)</f>
        <v>24</v>
      </c>
      <c r="V25" s="501" t="n">
        <f aca="false">IF(ISERROR(S25*K25),0,S25*K25)</f>
        <v>4</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309</v>
      </c>
      <c r="B26" s="490" t="n">
        <v>0.01</v>
      </c>
      <c r="C26" s="491"/>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0.0057</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3451</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0.0057</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t="n">
        <v>0.1</v>
      </c>
      <c r="C27" s="491" t="n">
        <v>2.5</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1.132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1.132</v>
      </c>
      <c r="S27" s="485" t="n">
        <f aca="false">IF(OR(ISTEXT(H27),R27=0),"",IF(R27&lt;0.1,1,IF(R27&lt;1,2,IF(R27&lt;10,3,IF(R27&lt;50,4,IF(R27&gt;=50,5,""))))))</f>
        <v>3</v>
      </c>
      <c r="T27" s="485" t="n">
        <f aca="false">IF(ISERROR(S27*J27),0,S27*J27)</f>
        <v>30</v>
      </c>
      <c r="U27" s="485" t="n">
        <f aca="false">IF(ISERROR(S27*J27*K27),0,S27*J27*K27)</f>
        <v>30</v>
      </c>
      <c r="V27" s="501" t="n">
        <f aca="false">IF(ISERROR(S27*K27),0,S27*K27)</f>
        <v>3</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348</v>
      </c>
      <c r="B28" s="490" t="n">
        <v>0.01</v>
      </c>
      <c r="C28" s="491"/>
      <c r="D28" s="492" t="str">
        <f aca="false">IF(ISERROR(VLOOKUP($A28,'liste reference'!$A$6:$B$1174,2,0)),IF(ISERROR(VLOOKUP($A28,'liste reference'!$B$6:$B$1174,1,0)),"",VLOOKUP($A28,'liste reference'!$B$6:$B$1174,1,0)),VLOOKUP($A28,'liste reference'!$A$6:$B$1174,2,0))</f>
        <v>Stigeoclonium sp. (excep. S. tenue)</v>
      </c>
      <c r="E28" s="493" t="e">
        <f aca="false">IF(D28="",0,VLOOKUP(D28,D$22:D27,1,0))</f>
        <v>#N/A</v>
      </c>
      <c r="F28" s="494" t="n">
        <f aca="false">IF(AND(OR(A28="",A28="!!!!!!"),B28="",C28=""),"",IF(OR(AND(B28="",C28=""),ISERROR(C28+B28)),"!!!",($B28*$B$7+$C28*$C$7)/100))</f>
        <v>0.0057</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Stigeoclonium sp. (excep. S. tenue)</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1119</v>
      </c>
      <c r="R28" s="484" t="n">
        <f aca="false">IF(ISTEXT(H28),"",(B28*$B$7/100)+(C28*$C$7/100))</f>
        <v>0.0057</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STISPX</v>
      </c>
      <c r="Z28" s="470" t="n">
        <f aca="false">IF(ISERROR(MATCH(A28,'liste reference'!$A$6:$A$1174,0)),IF(ISERROR(MATCH(A28,'liste reference'!$B$6:$B$1174,0)),"",(MATCH(A28,'liste reference'!$B$6:$B$1174,0))),(MATCH(A28,'liste reference'!$A$6:$A$1174,0)))</f>
        <v>104</v>
      </c>
    </row>
    <row r="29" customFormat="false" ht="12.75" hidden="false" customHeight="false" outlineLevel="0" collapsed="false">
      <c r="A29" s="489" t="s">
        <v>355</v>
      </c>
      <c r="B29" s="490" t="n">
        <v>0.01</v>
      </c>
      <c r="C29" s="491"/>
      <c r="D29" s="492" t="str">
        <f aca="false">IF(ISERROR(VLOOKUP($A29,'liste reference'!$A$6:$B$1174,2,0)),IF(ISERROR(VLOOKUP($A29,'liste reference'!$B$6:$B$1174,1,0)),"",VLOOKUP($A29,'liste reference'!$B$6:$B$1174,1,0)),VLOOKUP($A29,'liste reference'!$A$6:$B$1174,2,0))</f>
        <v>Tetraspora sp.</v>
      </c>
      <c r="E29" s="493" t="e">
        <f aca="false">IF(D29="",0,VLOOKUP(D29,D$22:D28,1,0))</f>
        <v>#N/A</v>
      </c>
      <c r="F29" s="494" t="n">
        <f aca="false">IF(AND(OR(A29="",A29="!!!!!!"),B29="",C29=""),"",IF(OR(AND(B29="",C29=""),ISERROR(C29+B29)),"!!!",($B29*$B$7+$C29*$C$7)/100))</f>
        <v>0.0057</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Tetraspora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1138</v>
      </c>
      <c r="R29" s="484" t="n">
        <f aca="false">IF(ISTEXT(H29),"",(B29*$B$7/100)+(C29*$C$7/100))</f>
        <v>0.0057</v>
      </c>
      <c r="S29" s="485" t="n">
        <f aca="false">IF(OR(ISTEXT(H29),R29=0),"",IF(R29&lt;0.1,1,IF(R29&lt;1,2,IF(R29&lt;10,3,IF(R29&lt;50,4,IF(R29&gt;=50,5,""))))))</f>
        <v>1</v>
      </c>
      <c r="T29" s="485" t="n">
        <f aca="false">IF(ISERROR(S29*J29),0,S29*J29)</f>
        <v>12</v>
      </c>
      <c r="U29" s="485" t="n">
        <f aca="false">IF(ISERROR(S29*J29*K29),0,S29*J29*K29)</f>
        <v>12</v>
      </c>
      <c r="V29" s="501" t="n">
        <f aca="false">IF(ISERROR(S29*K29),0,S29*K29)</f>
        <v>1</v>
      </c>
      <c r="W29" s="502"/>
      <c r="X29" s="503"/>
      <c r="Y29" s="488" t="str">
        <f aca="false">IF(AND(ISNUMBER(F29),OR(A29="",A29="!!!!!!")),"!!!!!!",IF(A29="new.cod","NEWCOD",IF(AND((Z29=""),ISTEXT(A29),A29&lt;&gt;"!!!!!!"),A29,IF(Z29="","",INDEX('liste reference'!$A$6:$A$1174,Z29)))))</f>
        <v>TETSPX</v>
      </c>
      <c r="Z29" s="470" t="n">
        <f aca="false">IF(ISERROR(MATCH(A29,'liste reference'!$A$6:$A$1174,0)),IF(ISERROR(MATCH(A29,'liste reference'!$B$6:$B$1174,0)),"",(MATCH(A29,'liste reference'!$B$6:$B$1174,0))),(MATCH(A29,'liste reference'!$A$6:$A$1174,0)))</f>
        <v>107</v>
      </c>
    </row>
    <row r="30" customFormat="false" ht="12.75" hidden="false" customHeight="false" outlineLevel="0" collapsed="false">
      <c r="A30" s="489" t="s">
        <v>712</v>
      </c>
      <c r="B30" s="490" t="n">
        <v>0.01</v>
      </c>
      <c r="C30" s="491"/>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0.0057</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0.0057</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974</v>
      </c>
      <c r="B31" s="490" t="n">
        <v>0.01</v>
      </c>
      <c r="C31" s="491"/>
      <c r="D31" s="492" t="str">
        <f aca="false">IF(ISERROR(VLOOKUP($A31,'liste reference'!$A$6:$B$1174,2,0)),IF(ISERROR(VLOOKUP($A31,'liste reference'!$B$6:$B$1174,1,0)),"",VLOOKUP($A31,'liste reference'!$B$6:$B$1174,1,0)),VLOOKUP($A31,'liste reference'!$A$6:$B$1174,2,0))</f>
        <v>Leptodictyum riparium </v>
      </c>
      <c r="E31" s="493" t="e">
        <f aca="false">IF(D31="",0,VLOOKUP(D31,D$22:D30,1,0))</f>
        <v>#N/A</v>
      </c>
      <c r="F31" s="494" t="n">
        <f aca="false">IF(AND(OR(A31="",A31="!!!!!!"),B31="",C31=""),"",IF(OR(AND(B31="",C31=""),ISERROR(C31+B31)),"!!!",($B31*$B$7+$C31*$C$7)/100))</f>
        <v>0.0057</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Leptodictyum riparium </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1244</v>
      </c>
      <c r="R31" s="484" t="n">
        <f aca="false">IF(ISTEXT(H31),"",(B31*$B$7/100)+(C31*$C$7/100))</f>
        <v>0.0057</v>
      </c>
      <c r="S31" s="485" t="n">
        <f aca="false">IF(OR(ISTEXT(H31),R31=0),"",IF(R31&lt;0.1,1,IF(R31&lt;1,2,IF(R31&lt;10,3,IF(R31&lt;50,4,IF(R31&gt;=50,5,""))))))</f>
        <v>1</v>
      </c>
      <c r="T31" s="485" t="n">
        <f aca="false">IF(ISERROR(S31*J31),0,S31*J31)</f>
        <v>5</v>
      </c>
      <c r="U31" s="485" t="n">
        <f aca="false">IF(ISERROR(S31*J31*K31),0,S31*J31*K31)</f>
        <v>10</v>
      </c>
      <c r="V31" s="501" t="n">
        <f aca="false">IF(ISERROR(S31*K31),0,S31*K31)</f>
        <v>2</v>
      </c>
      <c r="W31" s="502"/>
      <c r="X31" s="503"/>
      <c r="Y31" s="488" t="str">
        <f aca="false">IF(AND(ISNUMBER(F31),OR(A31="",A31="!!!!!!")),"!!!!!!",IF(A31="new.cod","NEWCOD",IF(AND((Z31=""),ISTEXT(A31),A31&lt;&gt;"!!!!!!"),A31,IF(Z31="","",INDEX('liste reference'!$A$6:$A$1174,Z31)))))</f>
        <v>LEORIP</v>
      </c>
      <c r="Z31" s="470" t="n">
        <f aca="false">IF(ISERROR(MATCH(A31,'liste reference'!$A$6:$A$1174,0)),IF(ISERROR(MATCH(A31,'liste reference'!$B$6:$B$1174,0)),"",(MATCH(A31,'liste reference'!$B$6:$B$1174,0))),(MATCH(A31,'liste reference'!$A$6:$A$1174,0)))</f>
        <v>298</v>
      </c>
    </row>
    <row r="32" customFormat="false" ht="12.75" hidden="false" customHeight="false" outlineLevel="0" collapsed="false">
      <c r="A32" s="489" t="s">
        <v>1122</v>
      </c>
      <c r="B32" s="490" t="n">
        <v>0.01</v>
      </c>
      <c r="C32" s="491"/>
      <c r="D32" s="492" t="str">
        <f aca="false">IF(ISERROR(VLOOKUP($A32,'liste reference'!$A$6:$B$1174,2,0)),IF(ISERROR(VLOOKUP($A32,'liste reference'!$B$6:$B$1174,1,0)),"",VLOOKUP($A32,'liste reference'!$B$6:$B$1174,1,0)),VLOOKUP($A32,'liste reference'!$A$6:$B$1174,2,0))</f>
        <v>Rhynchostegium riparioides</v>
      </c>
      <c r="E32" s="493" t="e">
        <f aca="false">IF(D32="",0,VLOOKUP(D32,D$22:D31,1,0))</f>
        <v>#N/A</v>
      </c>
      <c r="F32" s="494" t="n">
        <f aca="false">IF(AND(OR(A32="",A32="!!!!!!"),B32="",C32=""),"",IF(OR(AND(B32="",C32=""),ISERROR(C32+B32)),"!!!",($B32*$B$7+$C32*$C$7)/100))</f>
        <v>0.0057</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Rhynchostegium riparioides</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31691</v>
      </c>
      <c r="R32" s="484" t="n">
        <f aca="false">IF(ISTEXT(H32),"",(B32*$B$7/100)+(C32*$C$7/100))</f>
        <v>0.0057</v>
      </c>
      <c r="S32" s="485" t="n">
        <f aca="false">IF(OR(ISTEXT(H32),R32=0),"",IF(R32&lt;0.1,1,IF(R32&lt;1,2,IF(R32&lt;10,3,IF(R32&lt;50,4,IF(R32&gt;=50,5,""))))))</f>
        <v>1</v>
      </c>
      <c r="T32" s="485" t="n">
        <f aca="false">IF(ISERROR(S32*J32),0,S32*J32)</f>
        <v>12</v>
      </c>
      <c r="U32" s="485" t="n">
        <f aca="false">IF(ISERROR(S32*J32*K32),0,S32*J32*K32)</f>
        <v>12</v>
      </c>
      <c r="V32" s="501" t="n">
        <f aca="false">IF(ISERROR(S32*K32),0,S32*K32)</f>
        <v>1</v>
      </c>
      <c r="W32" s="502"/>
      <c r="X32" s="503"/>
      <c r="Y32" s="488" t="str">
        <f aca="false">IF(AND(ISNUMBER(F32),OR(A32="",A32="!!!!!!")),"!!!!!!",IF(A32="new.cod","NEWCOD",IF(AND((Z32=""),ISTEXT(A32),A32&lt;&gt;"!!!!!!"),A32,IF(Z32="","",INDEX('liste reference'!$A$6:$A$1174,Z32)))))</f>
        <v>RHYRIP</v>
      </c>
      <c r="Z32" s="470" t="n">
        <f aca="false">IF(ISERROR(MATCH(A32,'liste reference'!$A$6:$A$1174,0)),IF(ISERROR(MATCH(A32,'liste reference'!$B$6:$B$1174,0)),"",(MATCH(A32,'liste reference'!$B$6:$B$1174,0))),(MATCH(A32,'liste reference'!$A$6:$A$1174,0)))</f>
        <v>345</v>
      </c>
    </row>
    <row r="33" customFormat="false" ht="12.75" hidden="false" customHeight="false" outlineLevel="0" collapsed="false">
      <c r="A33" s="489" t="s">
        <v>1255</v>
      </c>
      <c r="B33" s="490" t="n">
        <v>0.01</v>
      </c>
      <c r="C33" s="491"/>
      <c r="D33" s="492" t="str">
        <f aca="false">IF(ISERROR(VLOOKUP($A33,'liste reference'!$A$6:$B$1174,2,0)),IF(ISERROR(VLOOKUP($A33,'liste reference'!$B$6:$B$1174,1,0)),"",VLOOKUP($A33,'liste reference'!$B$6:$B$1174,1,0)),VLOOKUP($A33,'liste reference'!$A$6:$B$1174,2,0))</f>
        <v>Equisetum arvense</v>
      </c>
      <c r="E33" s="493" t="e">
        <f aca="false">IF(D33="",0,VLOOKUP(D33,D$22:D32,1,0))</f>
        <v>#N/A</v>
      </c>
      <c r="F33" s="494" t="n">
        <f aca="false">IF(AND(OR(A33="",A33="!!!!!!"),B33="",C33=""),"",IF(OR(AND(B33="",C33=""),ISERROR(C33+B33)),"!!!",($B33*$B$7+$C33*$C$7)/100))</f>
        <v>0.0057</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arvense</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1384</v>
      </c>
      <c r="R33" s="484" t="n">
        <f aca="false">IF(ISTEXT(H33),"",(B33*$B$7/100)+(C33*$C$7/100))</f>
        <v>0.0057</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EQUARV</v>
      </c>
      <c r="Z33" s="470" t="n">
        <f aca="false">IF(ISERROR(MATCH(A33,'liste reference'!$A$6:$A$1174,0)),IF(ISERROR(MATCH(A33,'liste reference'!$B$6:$B$1174,0)),"",(MATCH(A33,'liste reference'!$B$6:$B$1174,0))),(MATCH(A33,'liste reference'!$A$6:$A$1174,0)))</f>
        <v>385</v>
      </c>
    </row>
    <row r="34" customFormat="false" ht="12.75" hidden="false" customHeight="false" outlineLevel="0" collapsed="false">
      <c r="A34" s="489" t="s">
        <v>1483</v>
      </c>
      <c r="B34" s="490" t="n">
        <v>0.01</v>
      </c>
      <c r="C34" s="491"/>
      <c r="D34" s="492" t="str">
        <f aca="false">IF(ISERROR(VLOOKUP($A34,'liste reference'!$A$6:$B$1174,2,0)),IF(ISERROR(VLOOKUP($A34,'liste reference'!$B$6:$B$1174,1,0)),"",VLOOKUP($A34,'liste reference'!$B$6:$B$1174,1,0)),VLOOKUP($A34,'liste reference'!$A$6:$B$1174,2,0))</f>
        <v>Helosciadium nodiflorum </v>
      </c>
      <c r="E34" s="493" t="e">
        <f aca="false">IF(D34="",0,VLOOKUP(D34,D$22:D33,1,0))</f>
        <v>#N/A</v>
      </c>
      <c r="F34" s="494" t="n">
        <f aca="false">IF(AND(OR(A34="",A34="!!!!!!"),B34="",C34=""),"",IF(OR(AND(B34="",C34=""),ISERROR(C34+B34)),"!!!",($B34*$B$7+$C34*$C$7)/100))</f>
        <v>0.0057</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Helosciadium nodiflorum </v>
      </c>
      <c r="M34" s="498"/>
      <c r="N34" s="498"/>
      <c r="O34" s="498"/>
      <c r="P34" s="499" t="s">
        <v>3451</v>
      </c>
      <c r="Q34" s="500" t="n">
        <f aca="false">IF(OR($A34="NEWCOD",$A34="!!!!!!"),IF(X34="","NoCod",X34),IF($A34="","",IF(ISERROR(VLOOKUP($A34,'liste reference'!$A$6:$H$1174,8,0)),IF(ISERROR(VLOOKUP($A34,'liste reference'!$B$6:$H$1174,7,0)),"",VLOOKUP($A34,'liste reference'!$B$6:$H$1174,7,0)),VLOOKUP($A34,'liste reference'!$A$6:$H$1174,8,0))))</f>
        <v>30053</v>
      </c>
      <c r="R34" s="484" t="n">
        <f aca="false">IF(ISTEXT(H34),"",(B34*$B$7/100)+(C34*$C$7/100))</f>
        <v>0.0057</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HELNOD</v>
      </c>
      <c r="Z34" s="470" t="n">
        <f aca="false">IF(ISERROR(MATCH(A34,'liste reference'!$A$6:$A$1174,0)),IF(ISERROR(MATCH(A34,'liste reference'!$B$6:$B$1174,0)),"",(MATCH(A34,'liste reference'!$B$6:$B$1174,0))),(MATCH(A34,'liste reference'!$A$6:$A$1174,0)))</f>
        <v>460</v>
      </c>
    </row>
    <row r="35" customFormat="false" ht="12.75" hidden="false" customHeight="false" outlineLevel="0" collapsed="false">
      <c r="A35" s="489" t="s">
        <v>1522</v>
      </c>
      <c r="B35" s="490" t="n">
        <v>0.01</v>
      </c>
      <c r="C35" s="491" t="n">
        <v>0.01</v>
      </c>
      <c r="D35" s="492" t="str">
        <f aca="false">IF(ISERROR(VLOOKUP($A35,'liste reference'!$A$6:$B$1174,2,0)),IF(ISERROR(VLOOKUP($A35,'liste reference'!$B$6:$B$1174,1,0)),"",VLOOKUP($A35,'liste reference'!$B$6:$B$1174,1,0)),VLOOKUP($A35,'liste reference'!$A$6:$B$1174,2,0))</f>
        <v>Lemna minor</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Lemna minor</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1626</v>
      </c>
      <c r="R35" s="484" t="n">
        <f aca="false">IF(ISTEXT(H35),"",(B35*$B$7/100)+(C35*$C$7/100))</f>
        <v>0.01</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LEMMIN</v>
      </c>
      <c r="Z35" s="470" t="n">
        <f aca="false">IF(ISERROR(MATCH(A35,'liste reference'!$A$6:$A$1174,0)),IF(ISERROR(MATCH(A35,'liste reference'!$B$6:$B$1174,0)),"",(MATCH(A35,'liste reference'!$B$6:$B$1174,0))),(MATCH(A35,'liste reference'!$A$6:$A$1174,0)))</f>
        <v>473</v>
      </c>
    </row>
    <row r="36" customFormat="false" ht="12.75" hidden="false" customHeight="false" outlineLevel="0" collapsed="false">
      <c r="A36" s="489" t="s">
        <v>1557</v>
      </c>
      <c r="B36" s="490" t="n">
        <v>0.01</v>
      </c>
      <c r="C36" s="491"/>
      <c r="D36" s="492" t="str">
        <f aca="false">IF(ISERROR(VLOOKUP($A36,'liste reference'!$A$6:$B$1174,2,0)),IF(ISERROR(VLOOKUP($A36,'liste reference'!$B$6:$B$1174,1,0)),"",VLOOKUP($A36,'liste reference'!$B$6:$B$1174,1,0)),VLOOKUP($A36,'liste reference'!$A$6:$B$1174,2,0))</f>
        <v>Myriophyllum spicatum</v>
      </c>
      <c r="E36" s="493" t="e">
        <f aca="false">IF(D36="",0,VLOOKUP(D36,D$22:D35,1,0))</f>
        <v>#N/A</v>
      </c>
      <c r="F36" s="494" t="n">
        <f aca="false">IF(AND(OR(A36="",A36="!!!!!!"),B36="",C36=""),"",IF(OR(AND(B36="",C36=""),ISERROR(C36+B36)),"!!!",($B36*$B$7+$C36*$C$7)/100))</f>
        <v>0.0057</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8</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Myriophyllum spicatum</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1778</v>
      </c>
      <c r="R36" s="484" t="n">
        <f aca="false">IF(ISTEXT(H36),"",(B36*$B$7/100)+(C36*$C$7/100))</f>
        <v>0.0057</v>
      </c>
      <c r="S36" s="485" t="n">
        <f aca="false">IF(OR(ISTEXT(H36),R36=0),"",IF(R36&lt;0.1,1,IF(R36&lt;1,2,IF(R36&lt;10,3,IF(R36&lt;50,4,IF(R36&gt;=50,5,""))))))</f>
        <v>1</v>
      </c>
      <c r="T36" s="485" t="n">
        <f aca="false">IF(ISERROR(S36*J36),0,S36*J36)</f>
        <v>8</v>
      </c>
      <c r="U36" s="485" t="n">
        <f aca="false">IF(ISERROR(S36*J36*K36),0,S36*J36*K36)</f>
        <v>16</v>
      </c>
      <c r="V36" s="501" t="n">
        <f aca="false">IF(ISERROR(S36*K36),0,S36*K36)</f>
        <v>2</v>
      </c>
      <c r="W36" s="502"/>
      <c r="X36" s="503"/>
      <c r="Y36" s="488" t="str">
        <f aca="false">IF(AND(ISNUMBER(F36),OR(A36="",A36="!!!!!!")),"!!!!!!",IF(A36="new.cod","NEWCOD",IF(AND((Z36=""),ISTEXT(A36),A36&lt;&gt;"!!!!!!"),A36,IF(Z36="","",INDEX('liste reference'!$A$6:$A$1174,Z36)))))</f>
        <v>MYRSPI</v>
      </c>
      <c r="Z36" s="470" t="n">
        <f aca="false">IF(ISERROR(MATCH(A36,'liste reference'!$A$6:$A$1174,0)),IF(ISERROR(MATCH(A36,'liste reference'!$B$6:$B$1174,0)),"",(MATCH(A36,'liste reference'!$B$6:$B$1174,0))),(MATCH(A36,'liste reference'!$A$6:$A$1174,0)))</f>
        <v>486</v>
      </c>
    </row>
    <row r="37" customFormat="false" ht="12.75" hidden="false" customHeight="false" outlineLevel="0" collapsed="false">
      <c r="A37" s="489" t="s">
        <v>1932</v>
      </c>
      <c r="B37" s="490" t="n">
        <v>0.1</v>
      </c>
      <c r="C37" s="491" t="n">
        <v>0.05</v>
      </c>
      <c r="D37" s="492" t="str">
        <f aca="false">IF(ISERROR(VLOOKUP($A37,'liste reference'!$A$6:$B$1174,2,0)),IF(ISERROR(VLOOKUP($A37,'liste reference'!$B$6:$B$1174,1,0)),"",VLOOKUP($A37,'liste reference'!$B$6:$B$1174,1,0)),VLOOKUP($A37,'liste reference'!$A$6:$B$1174,2,0))</f>
        <v>Agrostis stolonifera</v>
      </c>
      <c r="E37" s="493" t="e">
        <f aca="false">IF(D37="",0,VLOOKUP(D37,D$22:D36,1,0))</f>
        <v>#N/A</v>
      </c>
      <c r="F37" s="494" t="n">
        <f aca="false">IF(AND(OR(A37="",A37="!!!!!!"),B37="",C37=""),"",IF(OR(AND(B37="",C37=""),ISERROR(C37+B37)),"!!!",($B37*$B$7+$C37*$C$7)/100))</f>
        <v>0.0785</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Agrostis stolonifera</v>
      </c>
      <c r="M37" s="498"/>
      <c r="N37" s="498"/>
      <c r="O37" s="498"/>
      <c r="P37" s="499" t="s">
        <v>3451</v>
      </c>
      <c r="Q37" s="500" t="n">
        <f aca="false">IF(OR($A37="NEWCOD",$A37="!!!!!!"),IF(X37="","NoCod",X37),IF($A37="","",IF(ISERROR(VLOOKUP($A37,'liste reference'!$A$6:$H$1174,8,0)),IF(ISERROR(VLOOKUP($A37,'liste reference'!$B$6:$H$1174,7,0)),"",VLOOKUP($A37,'liste reference'!$B$6:$H$1174,7,0)),VLOOKUP($A37,'liste reference'!$A$6:$H$1174,8,0))))</f>
        <v>1543</v>
      </c>
      <c r="R37" s="484" t="n">
        <f aca="false">IF(ISTEXT(H37),"",(B37*$B$7/100)+(C37*$C$7/100))</f>
        <v>0.0785</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AGRSTO</v>
      </c>
      <c r="Z37" s="470" t="n">
        <f aca="false">IF(ISERROR(MATCH(A37,'liste reference'!$A$6:$A$1174,0)),IF(ISERROR(MATCH(A37,'liste reference'!$B$6:$B$1174,0)),"",(MATCH(A37,'liste reference'!$B$6:$B$1174,0))),(MATCH(A37,'liste reference'!$A$6:$A$1174,0)))</f>
        <v>623</v>
      </c>
    </row>
    <row r="38" customFormat="false" ht="12.75" hidden="false" customHeight="false" outlineLevel="0" collapsed="false">
      <c r="A38" s="489" t="s">
        <v>2132</v>
      </c>
      <c r="B38" s="490" t="n">
        <v>0.01</v>
      </c>
      <c r="C38" s="491"/>
      <c r="D38" s="492" t="str">
        <f aca="false">IF(ISERROR(VLOOKUP($A38,'liste reference'!$A$6:$B$1174,2,0)),IF(ISERROR(VLOOKUP($A38,'liste reference'!$B$6:$B$1174,1,0)),"",VLOOKUP($A38,'liste reference'!$B$6:$B$1174,1,0)),VLOOKUP($A38,'liste reference'!$A$6:$B$1174,2,0))</f>
        <v>Lycopus europaeus</v>
      </c>
      <c r="E38" s="493" t="e">
        <f aca="false">IF(D38="",0,VLOOKUP(D38,D$22:D37,1,0))</f>
        <v>#N/A</v>
      </c>
      <c r="F38" s="494" t="n">
        <f aca="false">IF(AND(OR(A38="",A38="!!!!!!"),B38="",C38=""),"",IF(OR(AND(B38="",C38=""),ISERROR(C38+B38)),"!!!",($B38*$B$7+$C38*$C$7)/100))</f>
        <v>0.0057</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Lycopus europaeus</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1789</v>
      </c>
      <c r="R38" s="484" t="n">
        <f aca="false">IF(ISTEXT(H38),"",(B38*$B$7/100)+(C38*$C$7/100))</f>
        <v>0.0057</v>
      </c>
      <c r="S38" s="485" t="n">
        <f aca="false">IF(OR(ISTEXT(H38),R38=0),"",IF(R38&lt;0.1,1,IF(R38&lt;1,2,IF(R38&lt;10,3,IF(R38&lt;50,4,IF(R38&gt;=50,5,""))))))</f>
        <v>1</v>
      </c>
      <c r="T38" s="485" t="n">
        <f aca="false">IF(ISERROR(S38*J38),0,S38*J38)</f>
        <v>11</v>
      </c>
      <c r="U38" s="485" t="n">
        <f aca="false">IF(ISERROR(S38*J38*K38),0,S38*J38*K38)</f>
        <v>11</v>
      </c>
      <c r="V38" s="501" t="n">
        <f aca="false">IF(ISERROR(S38*K38),0,S38*K38)</f>
        <v>1</v>
      </c>
      <c r="W38" s="502"/>
      <c r="X38" s="503"/>
      <c r="Y38" s="488" t="str">
        <f aca="false">IF(AND(ISNUMBER(F38),OR(A38="",A38="!!!!!!")),"!!!!!!",IF(A38="new.cod","NEWCOD",IF(AND((Z38=""),ISTEXT(A38),A38&lt;&gt;"!!!!!!"),A38,IF(Z38="","",INDEX('liste reference'!$A$6:$A$1174,Z38)))))</f>
        <v>LYCEUR</v>
      </c>
      <c r="Z38" s="470" t="n">
        <f aca="false">IF(ISERROR(MATCH(A38,'liste reference'!$A$6:$A$1174,0)),IF(ISERROR(MATCH(A38,'liste reference'!$B$6:$B$1174,0)),"",(MATCH(A38,'liste reference'!$B$6:$B$1174,0))),(MATCH(A38,'liste reference'!$A$6:$A$1174,0)))</f>
        <v>692</v>
      </c>
    </row>
    <row r="39" customFormat="false" ht="12.75" hidden="false" customHeight="false" outlineLevel="0" collapsed="false">
      <c r="A39" s="489" t="s">
        <v>2136</v>
      </c>
      <c r="B39" s="490" t="n">
        <v>0.01</v>
      </c>
      <c r="C39" s="491"/>
      <c r="D39" s="492" t="str">
        <f aca="false">IF(ISERROR(VLOOKUP($A39,'liste reference'!$A$6:$B$1174,2,0)),IF(ISERROR(VLOOKUP($A39,'liste reference'!$B$6:$B$1174,1,0)),"",VLOOKUP($A39,'liste reference'!$B$6:$B$1174,1,0)),VLOOKUP($A39,'liste reference'!$A$6:$B$1174,2,0))</f>
        <v>Mentha aquatica</v>
      </c>
      <c r="E39" s="493" t="e">
        <f aca="false">IF(D39="",0,VLOOKUP(D39,D$22:D38,1,0))</f>
        <v>#N/A</v>
      </c>
      <c r="F39" s="494" t="n">
        <f aca="false">IF(AND(OR(A39="",A39="!!!!!!"),B39="",C39=""),"",IF(OR(AND(B39="",C39=""),ISERROR(C39+B39)),"!!!",($B39*$B$7+$C39*$C$7)/100))</f>
        <v>0.0057</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12</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Mentha aquatica</v>
      </c>
      <c r="M39" s="498"/>
      <c r="N39" s="498"/>
      <c r="O39" s="498"/>
      <c r="P39" s="499" t="s">
        <v>3451</v>
      </c>
      <c r="Q39" s="500" t="n">
        <f aca="false">IF(OR($A39="NEWCOD",$A39="!!!!!!"),IF(X39="","NoCod",X39),IF($A39="","",IF(ISERROR(VLOOKUP($A39,'liste reference'!$A$6:$H$1174,8,0)),IF(ISERROR(VLOOKUP($A39,'liste reference'!$B$6:$H$1174,7,0)),"",VLOOKUP($A39,'liste reference'!$B$6:$H$1174,7,0)),VLOOKUP($A39,'liste reference'!$A$6:$H$1174,8,0))))</f>
        <v>1791</v>
      </c>
      <c r="R39" s="484" t="n">
        <f aca="false">IF(ISTEXT(H39),"",(B39*$B$7/100)+(C39*$C$7/100))</f>
        <v>0.0057</v>
      </c>
      <c r="S39" s="485" t="n">
        <f aca="false">IF(OR(ISTEXT(H39),R39=0),"",IF(R39&lt;0.1,1,IF(R39&lt;1,2,IF(R39&lt;10,3,IF(R39&lt;50,4,IF(R39&gt;=50,5,""))))))</f>
        <v>1</v>
      </c>
      <c r="T39" s="485" t="n">
        <f aca="false">IF(ISERROR(S39*J39),0,S39*J39)</f>
        <v>12</v>
      </c>
      <c r="U39" s="485" t="n">
        <f aca="false">IF(ISERROR(S39*J39*K39),0,S39*J39*K39)</f>
        <v>12</v>
      </c>
      <c r="V39" s="501" t="n">
        <f aca="false">IF(ISERROR(S39*K39),0,S39*K39)</f>
        <v>1</v>
      </c>
      <c r="W39" s="502"/>
      <c r="X39" s="503"/>
      <c r="Y39" s="488" t="str">
        <f aca="false">IF(AND(ISNUMBER(F39),OR(A39="",A39="!!!!!!")),"!!!!!!",IF(A39="new.cod","NEWCOD",IF(AND((Z39=""),ISTEXT(A39),A39&lt;&gt;"!!!!!!"),A39,IF(Z39="","",INDEX('liste reference'!$A$6:$A$1174,Z39)))))</f>
        <v>MENAQU</v>
      </c>
      <c r="Z39" s="470" t="n">
        <f aca="false">IF(ISERROR(MATCH(A39,'liste reference'!$A$6:$A$1174,0)),IF(ISERROR(MATCH(A39,'liste reference'!$B$6:$B$1174,0)),"",(MATCH(A39,'liste reference'!$B$6:$B$1174,0))),(MATCH(A39,'liste reference'!$A$6:$A$1174,0)))</f>
        <v>694</v>
      </c>
    </row>
    <row r="40" customFormat="false" ht="12.75" hidden="false" customHeight="false" outlineLevel="0" collapsed="false">
      <c r="A40" s="489" t="s">
        <v>2170</v>
      </c>
      <c r="B40" s="490" t="n">
        <v>0.02</v>
      </c>
      <c r="C40" s="491"/>
      <c r="D40" s="492" t="str">
        <f aca="false">IF(ISERROR(VLOOKUP($A40,'liste reference'!$A$6:$B$1174,2,0)),IF(ISERROR(VLOOKUP($A40,'liste reference'!$B$6:$B$1174,1,0)),"",VLOOKUP($A40,'liste reference'!$B$6:$B$1174,1,0)),VLOOKUP($A40,'liste reference'!$A$6:$B$1174,2,0))</f>
        <v>Phalaris arundinacea</v>
      </c>
      <c r="E40" s="493" t="e">
        <f aca="false">IF(D40="",0,VLOOKUP(D40,D$22:D39,1,0))</f>
        <v>#N/A</v>
      </c>
      <c r="F40" s="494" t="n">
        <f aca="false">IF(AND(OR(A40="",A40="!!!!!!"),B40="",C40=""),"",IF(OR(AND(B40="",C40=""),ISERROR(C40+B40)),"!!!",($B40*$B$7+$C40*$C$7)/100))</f>
        <v>0.0114</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Phalaris arundinacea</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1577</v>
      </c>
      <c r="R40" s="484" t="n">
        <f aca="false">IF(ISTEXT(H40),"",(B40*$B$7/100)+(C40*$C$7/100))</f>
        <v>0.0114</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PHAARU</v>
      </c>
      <c r="Z40" s="470" t="n">
        <f aca="false">IF(ISERROR(MATCH(A40,'liste reference'!$A$6:$A$1174,0)),IF(ISERROR(MATCH(A40,'liste reference'!$B$6:$B$1174,0)),"",(MATCH(A40,'liste reference'!$B$6:$B$1174,0))),(MATCH(A40,'liste reference'!$A$6:$A$1174,0)))</f>
        <v>707</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35.756</v>
      </c>
      <c r="G83" s="424"/>
      <c r="H83" s="424"/>
      <c r="I83" s="424"/>
      <c r="J83" s="424"/>
      <c r="K83" s="424"/>
      <c r="L83" s="424"/>
      <c r="M83" s="485"/>
      <c r="N83" s="485"/>
      <c r="O83" s="485"/>
      <c r="P83" s="485"/>
      <c r="Q83" s="485"/>
      <c r="R83" s="485"/>
      <c r="S83" s="485"/>
      <c r="T83" s="485"/>
      <c r="U83" s="485"/>
      <c r="V83" s="485" t="n">
        <f aca="false">SUM(V23:V82)</f>
        <v>31</v>
      </c>
      <c r="W83" s="485"/>
      <c r="X83" s="523"/>
      <c r="Y83" s="523"/>
      <c r="Z83" s="524"/>
    </row>
    <row r="84" customFormat="false" ht="12.75" hidden="true" customHeight="false" outlineLevel="0" collapsed="false">
      <c r="A84" s="518" t="str">
        <f aca="false">A3</f>
        <v>ARGENT DOUBLE</v>
      </c>
      <c r="B84" s="453" t="str">
        <f aca="false">C3</f>
        <v>ARGENT DOUBLE A AZILLE</v>
      </c>
      <c r="C84" s="525" t="str">
        <f aca="false">A4</f>
        <v>(Date)</v>
      </c>
      <c r="D84" s="526" t="n">
        <f aca="false">IF(OR(ISERROR(SUM($U$23:$U$82)/SUM($V$23:$V$82)),F7&lt;&gt;100),-1,SUM($U$23:$U$82)/SUM($V$23:$V$82))</f>
        <v>9.64516129032258</v>
      </c>
      <c r="E84" s="527" t="n">
        <f aca="false">O13</f>
        <v>18</v>
      </c>
      <c r="F84" s="453" t="n">
        <f aca="false">O14</f>
        <v>17</v>
      </c>
      <c r="G84" s="453" t="n">
        <f aca="false">O15</f>
        <v>10</v>
      </c>
      <c r="H84" s="453" t="n">
        <f aca="false">O16</f>
        <v>7</v>
      </c>
      <c r="I84" s="453" t="n">
        <f aca="false">O17</f>
        <v>0</v>
      </c>
      <c r="J84" s="528" t="n">
        <f aca="false">O8</f>
        <v>10.3529411764706</v>
      </c>
      <c r="K84" s="529" t="n">
        <f aca="false">O9</f>
        <v>2.69948091896089</v>
      </c>
      <c r="L84" s="530" t="n">
        <f aca="false">O10</f>
        <v>5</v>
      </c>
      <c r="M84" s="530" t="n">
        <f aca="false">O11</f>
        <v>15</v>
      </c>
      <c r="N84" s="529" t="n">
        <f aca="false">P8</f>
        <v>1.41176470588235</v>
      </c>
      <c r="O84" s="529" t="n">
        <f aca="false">P9</f>
        <v>0.49215295678475</v>
      </c>
      <c r="P84" s="530" t="n">
        <f aca="false">P10</f>
        <v>1</v>
      </c>
      <c r="Q84" s="530" t="n">
        <f aca="false">P11</f>
        <v>2</v>
      </c>
      <c r="R84" s="530" t="n">
        <f aca="false">F21</f>
        <v>35.756</v>
      </c>
      <c r="S84" s="530" t="n">
        <f aca="false">L11</f>
        <v>0</v>
      </c>
      <c r="T84" s="530" t="n">
        <f aca="false">L12</f>
        <v>7</v>
      </c>
      <c r="U84" s="530" t="n">
        <f aca="false">L13</f>
        <v>3</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24</v>
      </c>
      <c r="U87" s="281"/>
      <c r="V87" s="281"/>
    </row>
    <row r="88" customFormat="false" ht="12.75" hidden="true" customHeight="false" outlineLevel="0" collapsed="false">
      <c r="C88" s="534"/>
      <c r="D88" s="534"/>
      <c r="E88" s="534"/>
      <c r="R88" s="281" t="s">
        <v>3454</v>
      </c>
      <c r="S88" s="281"/>
      <c r="T88" s="536" t="n">
        <f aca="false">VLOOKUP($T$91,($A$23:$U$82),21,0)</f>
        <v>24</v>
      </c>
      <c r="U88" s="281"/>
      <c r="V88" s="281" t="n">
        <f aca="false">COUNTIF(V23:V82,T89)</f>
        <v>2</v>
      </c>
    </row>
    <row r="89" customFormat="false" ht="12.75" hidden="true" customHeight="false" outlineLevel="0" collapsed="false">
      <c r="C89" s="534"/>
      <c r="D89" s="534"/>
      <c r="E89" s="534"/>
      <c r="R89" s="281" t="s">
        <v>3455</v>
      </c>
      <c r="S89" s="281"/>
      <c r="T89" s="536" t="n">
        <f aca="false">MAX($V$23:$V$82)</f>
        <v>4</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10.1851851851852</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3475</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3451</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3404</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2017-11-28T15:37:00Z</cp:lastPrinted>
  <dcterms:modified xsi:type="dcterms:W3CDTF">2017-11-28T16:12:04Z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