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81906" sheetId="6" state="visible" r:id="rId8"/>
    <sheet name="jgjg" sheetId="7" state="hidden" r:id="rId9"/>
    <sheet name="liste codes réf" sheetId="8" state="hidden" r:id="rId10"/>
  </sheets>
  <definedNames>
    <definedName function="false" hidden="false" localSheetId="5" name="_xlnm.Print_Area" vbProcedure="false">'06181906'!$A$1:$Q$82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'06181906'!$A$1:$Q$82</definedName>
    <definedName function="false" hidden="false" localSheetId="5" name="_xlnm__FilterDatabase" vbProcedure="false">'06181906'!$A$1:$C$1415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<sst xmlns="http://schemas.openxmlformats.org/spreadsheetml/2006/main" count="8843" uniqueCount="3497">
  <si>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</si>
  <si>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</si>
  <si>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</si>
  <si>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</si>
  <si>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</si>
  <si>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</si>
  <si>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</si>
  <si>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</si>
  <si>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</si>
  <si>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</si>
  <si>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</si>
  <si>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</si>
  <si>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</si>
  <si>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</si>
  <si>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</si>
  <si>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</si>
  <si>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</si>
  <si>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</si>
  <si>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</si>
  <si>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</si>
  <si>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</si>
  <si>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</si>
  <si>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</si>
  <si>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</si>
  <si>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</si>
  <si>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</si>
  <si>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</si>
  <si>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</si>
  <si>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</si>
  <si>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</si>
  <si>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</si>
  <si>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</si>
  <si>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</si>
  <si>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</si>
  <si>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</si>
  <si>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</si>
  <si>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</si>
  <si>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</si>
  <si>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</si>
  <si>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</si>
  <si>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</si>
  <si>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</si>
  <si>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</si>
  <si>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</si>
  <si>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</si>
  <si>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</si>
  <si>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</si>
  <si>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</si>
  <si>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</si>
  <si>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</si>
  <si>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</si>
  <si>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</si>
  <si>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</si>
  <si>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</si>
  <si>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</si>
  <si>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</si>
  <si>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</si>
  <si>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</si>
  <si>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</si>
  <si>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</si>
  <si>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</si>
  <si>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</si>
  <si>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</si>
  <si>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</si>
  <si>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</si>
  <si>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</si>
  <si>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</si>
  <si>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</si>
  <si>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</si>
  <si>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</si>
  <si>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</si>
  <si>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</si>
  <si>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</si>
  <si>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</si>
  <si>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</si>
  <si>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</si>
  <si>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</si>
  <si>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</si>
  <si>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</si>
  <si>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</si>
  <si>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</si>
  <si>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</si>
  <si>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</si>
  <si>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</si>
  <si>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</si>
  <si>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</si>
  <si>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</si>
  <si>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</si>
  <si>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</si>
  <si>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</si>
  <si>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</si>
  <si>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</si>
  <si>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</si>
  <si>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</si>
  <si>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</si>
  <si>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</si>
  <si>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</si>
  <si>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</si>
  <si>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</si>
  <si>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</si>
  <si>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</si>
  <si>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</si>
  <si>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</si>
  <si>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</si>
  <si>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</si>
  <si>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</si>
  <si>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</si>
  <si>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</si>
  <si>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</si>
  <si>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</si>
  <si>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</si>
  <si>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</si>
  <si>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</si>
  <si>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</si>
  <si>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</si>
  <si>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</si>
  <si>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</si>
  <si>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</si>
  <si>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</si>
  <si>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</si>
  <si>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</si>
  <si>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</si>
  <si>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</si>
  <si>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</si>
  <si>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</si>
  <si>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</si>
  <si>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</si>
  <si>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</si>
  <si>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</si>
  <si>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</si>
  <si>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</si>
  <si>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</si>
  <si>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</si>
  <si>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</si>
  <si>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</si>
  <si>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</si>
  <si>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</si>
  <si>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</si>
  <si>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</si>
  <si>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</si>
  <si>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</si>
  <si>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</si>
  <si>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</si>
  <si>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</si>
  <si>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</si>
  <si>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</si>
  <si>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</si>
  <si>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</si>
  <si>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</si>
  <si>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</si>
  <si>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</si>
  <si>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</si>
  <si>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</si>
  <si>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</si>
  <si>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</si>
  <si>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</si>
  <si>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</si>
  <si>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</si>
  <si>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</si>
  <si>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</si>
  <si>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</si>
  <si>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</si>
  <si>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</si>
  <si>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</si>
  <si>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</si>
  <si>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</si>
  <si>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</si>
  <si>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</si>
  <si>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</si>
  <si>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</si>
  <si>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</si>
  <si>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</si>
  <si>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</si>
  <si>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</si>
  <si>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</si>
  <si>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</si>
  <si>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</si>
  <si>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</si>
  <si>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</si>
  <si>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</si>
  <si>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</si>
  <si>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</si>
  <si>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</si>
  <si>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</si>
  <si>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</si>
  <si>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</si>
  <si>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</si>
  <si>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</si>
  <si>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</si>
  <si>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</si>
  <si>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</si>
  <si>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</si>
  <si>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</si>
  <si>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</si>
  <si>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</si>
  <si>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</si>
  <si>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</si>
  <si>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</si>
  <si>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</si>
  <si>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</si>
  <si>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</si>
  <si>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</si>
  <si>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</si>
  <si>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</si>
  <si>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</si>
  <si>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</si>
  <si>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</si>
  <si>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</si>
  <si>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</si>
  <si>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</si>
  <si>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</si>
  <si>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</si>
  <si>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</si>
  <si>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</si>
  <si>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</si>
  <si>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</si>
  <si>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</si>
  <si>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</si>
  <si>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</si>
  <si>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</si>
  <si>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</si>
  <si>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</si>
  <si>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</si>
  <si>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</si>
  <si>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</si>
  <si>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</si>
  <si>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</si>
  <si>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</si>
  <si>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</si>
  <si>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</si>
  <si>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</si>
  <si>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</si>
  <si>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</si>
  <si>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</si>
  <si>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</si>
  <si>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</si>
  <si>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</si>
  <si>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</si>
  <si>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</si>
  <si>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</si>
  <si>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</si>
  <si>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</si>
  <si>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</si>
  <si>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</si>
  <si>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</si>
  <si>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</si>
  <si>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</si>
  <si>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</si>
  <si>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</si>
  <si>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</si>
  <si>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</si>
  <si>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</si>
  <si>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</si>
  <si>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</si>
  <si>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</si>
  <si>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</si>
  <si>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</si>
  <si>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</si>
  <si>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</si>
  <si>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</si>
  <si>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</si>
  <si>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</si>
  <si>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</si>
  <si>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</si>
  <si>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</si>
  <si>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</si>
  <si>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</si>
  <si>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</si>
  <si>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</si>
  <si>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</si>
  <si>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</si>
  <si>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</si>
  <si>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</si>
  <si>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</si>
  <si>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</si>
  <si>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</si>
  <si>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</si>
  <si>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</si>
  <si>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</si>
  <si>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</si>
  <si>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</si>
  <si>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</si>
  <si>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</si>
  <si>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</si>
  <si>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</si>
  <si>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</si>
  <si>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</si>
  <si>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</si>
  <si>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</si>
  <si>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</si>
  <si>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</si>
  <si>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</si>
  <si>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</si>
  <si>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</si>
  <si>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</si>
  <si>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</si>
  <si>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</si>
  <si>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</si>
  <si>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</si>
  <si>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</si>
  <si>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</si>
  <si>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</si>
  <si>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</si>
  <si>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</si>
  <si>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</si>
  <si>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</si>
  <si>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</si>
  <si>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</si>
  <si>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</si>
  <si>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</si>
  <si>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</si>
  <si>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</si>
  <si>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</si>
  <si>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</si>
  <si>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</si>
  <si>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</si>
  <si>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</si>
  <si>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</si>
  <si>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</si>
  <si>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</si>
  <si>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</si>
  <si>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</si>
  <si>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</si>
  <si>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</si>
  <si>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</si>
  <si>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</si>
  <si>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</si>
  <si>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</si>
  <si>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</si>
  <si>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</si>
  <si>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</si>
  <si>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</si>
  <si>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</si>
  <si>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</si>
  <si>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</si>
  <si>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</si>
  <si>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</si>
  <si>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</si>
  <si>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</si>
  <si>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</si>
  <si>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</si>
  <si>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</si>
  <si>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</si>
  <si>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</si>
  <si>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</si>
  <si>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</si>
  <si>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</si>
  <si>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</si>
  <si>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</si>
  <si>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</si>
  <si>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</si>
  <si>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</si>
  <si>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</si>
  <si>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</si>
  <si>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</si>
  <si>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</si>
  <si>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</si>
  <si>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</si>
  <si>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</si>
  <si>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</si>
  <si>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</si>
  <si>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</si>
  <si>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</si>
  <si>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</si>
  <si>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</si>
  <si>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</si>
  <si>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</si>
  <si>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</si>
  <si>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</si>
  <si>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</si>
  <si>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</si>
  <si>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</si>
  <si>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</si>
  <si>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</si>
  <si>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</si>
  <si>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</si>
  <si>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</si>
  <si>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</si>
  <si>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</si>
  <si>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</si>
  <si>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</si>
  <si>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</si>
  <si>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</si>
  <si>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</si>
  <si>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</si>
  <si>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</si>
  <si>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</si>
  <si>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</si>
  <si>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</si>
  <si>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</si>
  <si>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</si>
  <si>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</si>
  <si>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</si>
  <si>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</si>
  <si>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</si>
  <si>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</si>
  <si>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</si>
  <si>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</si>
  <si>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</si>
  <si>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</si>
  <si>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</si>
  <si>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</si>
  <si>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</si>
  <si>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</si>
  <si>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</si>
  <si>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</si>
  <si>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</si>
  <si>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</si>
  <si>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</si>
  <si>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</si>
  <si>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</si>
  <si>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</si>
  <si>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</si>
  <si>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</si>
  <si>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</si>
  <si>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</si>
  <si>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</si>
  <si>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</si>
  <si>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</si>
  <si>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</si>
  <si>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</si>
  <si>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</si>
  <si>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</si>
  <si>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</si>
  <si>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</si>
  <si>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</si>
  <si>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</si>
  <si>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</si>
  <si>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</si>
  <si>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</si>
  <si>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</si>
  <si>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</si>
  <si>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</si>
  <si>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</si>
  <si>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</si>
  <si>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</si>
  <si>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</si>
  <si>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</si>
  <si>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</si>
  <si>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</si>
  <si>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</si>
  <si>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</si>
  <si>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</si>
  <si>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</si>
  <si>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</si>
  <si>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</si>
  <si>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</si>
  <si>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</si>
  <si>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</si>
  <si>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</si>
  <si>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</si>
  <si>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</si>
  <si>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</si>
  <si>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</si>
  <si>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</si>
  <si>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</si>
  <si>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</si>
  <si>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</si>
  <si>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</si>
  <si>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</si>
  <si>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</si>
  <si>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</si>
  <si>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</si>
  <si>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</si>
  <si>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</si>
  <si>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</si>
  <si>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</si>
  <si>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</si>
  <si>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</si>
  <si>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</si>
  <si>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</si>
  <si>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</si>
  <si>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</si>
  <si>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</si>
  <si>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</si>
  <si>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</si>
  <si>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</si>
  <si>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</si>
  <si>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</si>
  <si>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</si>
  <si>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</si>
  <si>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</si>
  <si>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</si>
  <si>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</si>
  <si>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</si>
  <si>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</si>
  <si>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</si>
  <si>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</si>
  <si>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</si>
  <si>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</si>
  <si>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</si>
  <si>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</si>
  <si>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</si>
  <si>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</si>
  <si>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</si>
  <si>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</si>
  <si>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</si>
  <si>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</si>
  <si>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</si>
  <si>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</si>
  <si>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</si>
  <si>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</si>
  <si>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</si>
  <si>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</si>
  <si>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</si>
  <si>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</si>
  <si>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</si>
  <si>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</si>
  <si>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</si>
  <si>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</si>
  <si>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</si>
  <si>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</si>
  <si>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</si>
  <si>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</si>
  <si>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</si>
  <si>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</si>
  <si>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</si>
  <si>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</si>
  <si>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</si>
  <si>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</si>
  <si>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</si>
  <si>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</si>
  <si>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</si>
  <si>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</si>
  <si>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</si>
  <si>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</si>
  <si>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</si>
  <si>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</si>
  <si>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</si>
  <si>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</si>
  <si>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</si>
  <si>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</si>
  <si>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</si>
  <si>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</si>
  <si>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</si>
  <si>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</si>
  <si>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</si>
  <si>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</si>
  <si>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</si>
  <si>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</si>
  <si>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</si>
  <si>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</si>
  <si>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</si>
  <si>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</si>
  <si>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</si>
  <si>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</si>
  <si>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</si>
  <si>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</si>
  <si>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</si>
  <si>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</si>
  <si>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</si>
  <si>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</si>
  <si>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</si>
  <si>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</si>
  <si>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</si>
  <si>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</si>
  <si>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</si>
  <si>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</si>
  <si>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</si>
  <si>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</si>
  <si>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</si>
  <si>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</si>
  <si>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</si>
  <si>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</si>
  <si>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</si>
  <si>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</si>
  <si>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</si>
  <si>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</si>
  <si>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</si>
  <si>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</si>
  <si>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</si>
  <si>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</si>
  <si>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</si>
  <si>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</si>
  <si>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</si>
  <si>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</si>
  <si>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</si>
  <si>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</si>
  <si>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</si>
  <si>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</si>
  <si>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</si>
  <si>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</si>
  <si>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</si>
  <si>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</si>
  <si>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</si>
  <si>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</si>
  <si>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</si>
  <si>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</si>
  <si>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</si>
  <si>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</si>
  <si>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</si>
  <si>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</si>
  <si>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</si>
  <si>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</si>
  <si>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</si>
  <si>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</si>
  <si>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</si>
  <si>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</si>
  <si>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</si>
  <si>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</si>
  <si>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</si>
  <si>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</si>
  <si>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</si>
  <si>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</si>
  <si>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</si>
  <si>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</si>
  <si>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</si>
  <si>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</si>
  <si>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</si>
  <si>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</si>
  <si>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</si>
  <si>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</si>
  <si>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</si>
  <si>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</si>
  <si>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</si>
  <si>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</si>
  <si>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</si>
  <si>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</si>
  <si>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</si>
  <si>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</si>
  <si>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</si>
  <si>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</si>
  <si>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</si>
  <si>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</si>
  <si>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</si>
  <si>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</si>
  <si>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</si>
  <si>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</si>
  <si>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</si>
  <si>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</si>
  <si>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</si>
  <si>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</si>
  <si>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</si>
  <si>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</si>
  <si>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</si>
  <si>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</si>
  <si>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</si>
  <si>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</si>
  <si>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</si>
  <si>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</si>
  <si>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</si>
  <si>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</si>
  <si>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</si>
  <si>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</si>
  <si>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</si>
  <si>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</si>
  <si>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</si>
  <si>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</si>
  <si>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</si>
  <si>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</si>
  <si>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</si>
  <si>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</si>
  <si>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</si>
  <si>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</si>
  <si>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</si>
  <si>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</si>
  <si>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</si>
  <si>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</si>
  <si>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</si>
  <si>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</si>
  <si>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</si>
  <si>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</si>
  <si>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</si>
  <si>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</si>
  <si>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</si>
  <si>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</si>
  <si>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</si>
  <si>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</si>
  <si>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</si>
  <si>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</si>
  <si>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</si>
  <si>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</si>
  <si>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</si>
  <si>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</si>
  <si>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</si>
  <si>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</si>
  <si>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</si>
  <si>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</si>
  <si>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</si>
  <si>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</si>
  <si>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</si>
  <si>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</si>
  <si>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</si>
  <si>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</si>
  <si>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</si>
  <si>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</si>
  <si>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</si>
  <si>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</si>
  <si>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</si>
  <si>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</si>
  <si>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</si>
  <si>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</si>
  <si>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</si>
  <si>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</si>
  <si>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</si>
  <si>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</si>
  <si>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</si>
  <si>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</si>
  <si>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</si>
  <si>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</si>
  <si>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</si>
  <si>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</si>
  <si>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</si>
  <si>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</si>
  <si>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</si>
  <si>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</si>
  <si>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</si>
  <si>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</si>
  <si>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</si>
  <si>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</si>
  <si>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</si>
  <si>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</si>
  <si>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</si>
  <si>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</si>
  <si>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</si>
  <si>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</si>
  <si>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</si>
  <si>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</si>
  <si>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</si>
  <si>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</si>
  <si>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</si>
  <si>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</si>
  <si>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</si>
  <si>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</si>
  <si>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</si>
  <si>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</si>
  <si>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</si>
  <si>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</si>
  <si>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</si>
  <si>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</si>
  <si>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</si>
  <si>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</si>
  <si>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</si>
  <si>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</si>
  <si>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</si>
  <si>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</si>
  <si>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</si>
  <si>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</si>
  <si>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</si>
  <si>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</si>
  <si>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</si>
  <si>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</si>
  <si>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</si>
  <si>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</si>
  <si>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</si>
  <si>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</si>
  <si>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</si>
  <si>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</si>
  <si>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</si>
  <si>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</si>
  <si>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</si>
  <si>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</si>
  <si>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</si>
  <si>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</si>
  <si>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</si>
  <si>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</si>
  <si>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</si>
  <si>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</si>
  <si>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</si>
  <si>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</si>
  <si>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</si>
  <si>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</si>
  <si>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</si>
  <si>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</si>
  <si>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</si>
  <si>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</si>
  <si>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</si>
  <si>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</si>
  <si>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</si>
  <si>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</si>
  <si>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</si>
  <si>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</si>
  <si>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</si>
  <si>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</si>
  <si>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</si>
  <si>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</si>
  <si>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</si>
  <si>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</si>
  <si>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</si>
  <si>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</si>
  <si>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</si>
  <si>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</si>
  <si>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</si>
  <si>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</si>
  <si>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</si>
  <si>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</si>
  <si>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</si>
  <si>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</si>
  <si>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</si>
  <si>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</si>
  <si>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</si>
  <si>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</si>
  <si>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</si>
  <si>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</si>
  <si>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</si>
  <si>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</si>
  <si>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</si>
  <si>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</si>
  <si>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</si>
  <si>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</si>
  <si>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</si>
  <si>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</si>
  <si>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</si>
  <si>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</si>
  <si>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</si>
  <si>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</si>
  <si>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</si>
  <si>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</si>
  <si>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</si>
  <si>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</si>
  <si>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</si>
  <si>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</si>
  <si>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</si>
  <si>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</si>
  <si>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</si>
  <si>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</si>
  <si>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</si>
  <si>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</si>
  <si>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</si>
  <si>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</si>
  <si>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</si>
  <si>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</si>
  <si>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</si>
  <si>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</si>
  <si>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</si>
  <si>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</si>
  <si>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</si>
  <si>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</si>
  <si>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</si>
  <si>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</si>
  <si>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</si>
  <si>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</si>
  <si>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</si>
  <si>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</si>
  <si>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</si>
  <si>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</si>
  <si>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</si>
  <si>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</si>
  <si>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</si>
  <si>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</si>
  <si>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</si>
  <si>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</si>
  <si>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</si>
  <si>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</si>
  <si>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</si>
  <si>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</si>
  <si>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</si>
  <si>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</si>
  <si>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</si>
  <si>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</si>
  <si>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</si>
  <si>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</si>
  <si>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</si>
  <si>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</si>
  <si>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</si>
  <si>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</si>
  <si>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</si>
  <si>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</si>
  <si>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</si>
  <si>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</si>
  <si>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</si>
  <si>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</si>
  <si>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</si>
  <si>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</si>
  <si>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</si>
  <si>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</si>
  <si>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</si>
  <si>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</si>
  <si>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</si>
  <si>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</si>
  <si>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</si>
  <si>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</si>
  <si>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</si>
  <si>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</si>
  <si>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</si>
  <si>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</si>
  <si>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</si>
  <si>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</si>
  <si>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</si>
  <si>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</si>
  <si>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</si>
  <si>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</si>
  <si>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</si>
  <si>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</si>
  <si>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</si>
  <si>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</si>
  <si>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</si>
  <si>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</si>
  <si>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</si>
  <si>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</si>
  <si>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</si>
  <si>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</si>
  <si>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</si>
  <si>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</si>
  <si>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</si>
  <si>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</si>
  <si>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</si>
  <si>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</si>
  <si>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</si>
  <si>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</si>
  <si>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</si>
  <si>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</si>
  <si>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</si>
  <si>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</si>
  <si>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</si>
  <si>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</si>
  <si>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</si>
  <si>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</si>
  <si>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</si>
  <si>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</si>
  <si>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</si>
  <si>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</si>
  <si>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</si>
  <si>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</si>
  <si>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</si>
  <si>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</si>
  <si>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</si>
  <si>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</si>
  <si>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</si>
  <si>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</si>
  <si>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</si>
  <si>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</si>
  <si>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</si>
  <si>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</si>
  <si>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</si>
  <si>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</si>
  <si>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</si>
  <si>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</si>
  <si>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</si>
  <si>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</si>
  <si>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</si>
  <si>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</si>
  <si>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</si>
  <si>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</si>
  <si>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</si>
  <si>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</si>
  <si>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</si>
  <si>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</si>
  <si>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</si>
  <si>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</si>
  <si>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</si>
  <si>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</si>
  <si>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</si>
  <si>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</si>
  <si>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</si>
  <si>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</si>
  <si>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</si>
  <si>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</si>
  <si>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</si>
  <si>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</si>
  <si>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</si>
  <si>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</si>
  <si>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</si>
  <si>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</si>
  <si>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</si>
  <si>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</si>
  <si>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</si>
  <si>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</si>
  <si>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</si>
  <si>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</si>
  <si>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</si>
  <si>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</si>
  <si>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</si>
  <si>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</si>
  <si>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</si>
  <si>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</si>
  <si>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</si>
  <si>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</si>
  <si>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</si>
  <si>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</si>
  <si>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</si>
  <si>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</si>
  <si>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</si>
  <si>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</si>
  <si>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</si>
  <si>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</si>
  <si>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</si>
  <si>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</si>
  <si>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</si>
  <si>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</si>
  <si>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</si>
  <si>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</si>
  <si>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</si>
  <si>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</si>
  <si>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</si>
  <si>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</si>
  <si>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</si>
  <si>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</si>
  <si>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</si>
  <si>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</si>
  <si>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</si>
  <si>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</si>
  <si>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</si>
  <si>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</si>
  <si>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</si>
  <si>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</si>
  <si>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</si>
  <si>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</si>
  <si>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</si>
  <si>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</si>
  <si>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</si>
  <si>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</si>
  <si>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</si>
  <si>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</si>
  <si>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</si>
  <si>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</si>
  <si>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</si>
  <si>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</si>
  <si>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</si>
  <si>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</si>
  <si>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</si>
  <si>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</si>
  <si>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</si>
  <si>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</si>
  <si>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</si>
  <si>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</si>
  <si>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</si>
  <si>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</si>
  <si>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</si>
  <si>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</si>
  <si>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</si>
  <si>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</si>
  <si>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</si>
  <si>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</si>
  <si>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</si>
  <si>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</si>
  <si>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</si>
  <si>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</si>
  <si>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</si>
  <si>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</si>
  <si>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</si>
  <si>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</si>
  <si>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</si>
  <si>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</si>
  <si>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</si>
  <si>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</si>
  <si>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</si>
  <si>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</si>
  <si>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</si>
  <si>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</si>
  <si>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</si>
  <si>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</si>
  <si>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</si>
  <si>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</si>
  <si>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</si>
  <si>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</si>
  <si>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</si>
  <si>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</si>
  <si>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</si>
  <si>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</si>
  <si>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</si>
  <si>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</si>
  <si>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</si>
  <si>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</si>
  <si>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</si>
  <si>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</si>
  <si>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</si>
  <si>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</si>
  <si>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</si>
  <si>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</si>
  <si>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</si>
  <si>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</si>
  <si>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</si>
  <si>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</si>
  <si>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</si>
  <si>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</si>
  <si>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</si>
  <si>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</si>
  <si>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</si>
  <si>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</si>
  <si>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</si>
  <si>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</si>
  <si>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</si>
  <si>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</si>
  <si>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</si>
  <si>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</si>
  <si>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</si>
  <si>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</si>
  <si>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</si>
  <si>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</si>
  <si>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</si>
  <si>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</si>
  <si>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</si>
  <si>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</si>
  <si>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</si>
  <si>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</si>
  <si>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</si>
  <si>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</si>
  <si>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</si>
  <si>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</si>
  <si>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</si>
  <si>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</si>
  <si>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</si>
  <si>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</si>
  <si>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</si>
  <si>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</si>
  <si>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</si>
  <si>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</si>
  <si>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</si>
  <si>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</si>
  <si>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</si>
  <si>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</si>
  <si>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</si>
  <si>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</si>
  <si>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</si>
  <si>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</si>
  <si>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</si>
  <si>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</si>
  <si>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</si>
  <si>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</si>
  <si>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</si>
  <si>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</si>
  <si>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</si>
  <si>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</si>
  <si>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</si>
  <si>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</si>
  <si>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</si>
  <si>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</si>
  <si>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</si>
  <si>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</si>
  <si>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</si>
  <si>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</si>
  <si>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</si>
  <si>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</si>
  <si>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</si>
  <si>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</si>
  <si>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</si>
  <si>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</si>
  <si>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</si>
  <si>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</si>
  <si>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</si>
  <si>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</si>
  <si>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</si>
  <si>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</si>
  <si>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</si>
  <si>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</si>
  <si>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</si>
  <si>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</si>
  <si>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</si>
  <si>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</si>
  <si>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</si>
  <si>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</si>
  <si>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</si>
  <si>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</si>
  <si>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</si>
  <si>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</si>
  <si>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</si>
  <si>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</si>
  <si>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</si>
  <si>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</si>
  <si>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</si>
  <si>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</si>
  <si>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</si>
  <si>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</si>
  <si>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</si>
  <si>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</si>
  <si>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</si>
  <si>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</si>
  <si>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</si>
  <si>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</si>
  <si>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</si>
  <si>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</si>
  <si>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</si>
  <si>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</si>
  <si>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</si>
  <si>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</si>
  <si>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</si>
  <si>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</si>
  <si>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</si>
  <si>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</si>
  <si>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</si>
  <si>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</si>
  <si>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</si>
  <si>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</si>
  <si>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</si>
  <si>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</si>
  <si>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</si>
  <si>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</si>
  <si>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</si>
  <si>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</si>
  <si>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</si>
  <si>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</si>
  <si>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</si>
  <si>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</si>
  <si>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</si>
  <si>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</si>
  <si>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</si>
  <si>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</si>
  <si>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</si>
  <si>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</si>
  <si>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</si>
  <si>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</si>
  <si>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</si>
  <si>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</si>
  <si>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</si>
  <si>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</si>
  <si>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</si>
  <si>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</si>
  <si>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</si>
  <si>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</si>
  <si>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</si>
  <si>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</si>
  <si>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</si>
  <si>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</si>
  <si>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</si>
  <si>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</si>
  <si>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</si>
  <si>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</si>
  <si>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</si>
  <si>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</si>
  <si>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</si>
  <si>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</si>
  <si>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</si>
  <si>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</si>
  <si>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</si>
  <si>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</si>
  <si>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</si>
  <si>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</si>
  <si>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</si>
  <si>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</si>
  <si>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</si>
  <si>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</si>
  <si>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</si>
  <si>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</si>
  <si>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</si>
  <si>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</si>
  <si>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</si>
  <si>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</si>
  <si>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</si>
  <si>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</si>
  <si>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</si>
  <si>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</si>
  <si>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</si>
  <si>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</si>
  <si>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</si>
  <si>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</si>
  <si>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</si>
  <si>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</si>
  <si>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</si>
  <si>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</si>
  <si>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</si>
  <si>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</si>
  <si>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</si>
  <si>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</si>
  <si>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</si>
  <si>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</si>
  <si>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</si>
  <si>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</si>
  <si>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</si>
  <si>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</si>
  <si>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</si>
  <si>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</si>
  <si>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</si>
  <si>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</si>
  <si>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</si>
  <si>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</si>
  <si>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</si>
  <si>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</si>
  <si>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</si>
  <si>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</si>
  <si>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</si>
  <si>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</si>
  <si>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</si>
  <si>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</si>
  <si>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</si>
  <si>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</si>
  <si>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</si>
  <si>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</si>
  <si>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</si>
  <si>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</si>
  <si>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</si>
  <si>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</si>
  <si>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</si>
  <si>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</si>
  <si>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</si>
  <si>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</si>
  <si>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</si>
  <si>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</si>
  <si>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</si>
  <si>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</si>
  <si>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</si>
  <si>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</si>
  <si>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</si>
  <si>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</si>
  <si>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</si>
  <si>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</si>
  <si>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</si>
  <si>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</si>
  <si>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</si>
  <si>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</si>
  <si>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</si>
  <si>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</si>
  <si>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</si>
  <si>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</si>
  <si>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</si>
  <si>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</si>
  <si>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</si>
  <si>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</si>
  <si>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</si>
  <si>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</si>
  <si>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</si>
  <si>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</si>
  <si>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</si>
  <si>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</si>
  <si>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</si>
  <si>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</si>
  <si>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</si>
  <si>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</si>
  <si>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</si>
  <si>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</si>
  <si>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</si>
  <si>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</si>
  <si>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</si>
  <si>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</si>
  <si>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</si>
  <si>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</si>
  <si>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</si>
  <si>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</si>
  <si>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</si>
  <si>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</si>
  <si>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</si>
  <si>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</si>
  <si>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</si>
  <si>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</si>
  <si>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</si>
  <si>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</si>
  <si>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</si>
  <si>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</si>
  <si>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</si>
  <si>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</si>
  <si>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</si>
  <si>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</si>
  <si>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</si>
  <si>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</si>
  <si>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</si>
  <si>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</si>
  <si>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</si>
  <si>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</si>
  <si>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</si>
  <si>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</si>
  <si>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</si>
  <si>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</si>
  <si>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</si>
  <si>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</si>
  <si>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</si>
  <si>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</si>
  <si>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</si>
  <si>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</si>
  <si>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</si>
  <si>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</si>
  <si>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</si>
  <si>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</si>
  <si>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</si>
  <si>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</si>
  <si>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</si>
  <si>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</si>
  <si>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</si>
  <si>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</si>
  <si>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</si>
  <si>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</si>
  <si>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</si>
  <si>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</si>
  <si>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</si>
  <si>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</si>
  <si>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</si>
  <si>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</si>
  <si>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</si>
  <si>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</si>
  <si>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</si>
  <si>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</si>
  <si>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</si>
  <si>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</si>
  <si>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</si>
  <si>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</si>
  <si>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</si>
  <si>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</si>
  <si>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</si>
  <si>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</si>
  <si>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</si>
  <si>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</si>
  <si>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</si>
  <si>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</si>
  <si>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</si>
  <si>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</si>
  <si>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</si>
  <si>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</si>
  <si>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</si>
  <si>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</si>
  <si>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</si>
  <si>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</si>
  <si>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</si>
  <si>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</si>
  <si>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</si>
  <si>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</si>
  <si>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</si>
  <si>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</si>
  <si>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</si>
  <si>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</si>
  <si>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</si>
  <si>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</si>
  <si>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</si>
  <si>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</si>
  <si>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</si>
  <si>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</si>
  <si>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</si>
  <si>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</si>
  <si>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</si>
  <si>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</si>
  <si>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</si>
  <si>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</si>
  <si>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</si>
  <si>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</si>
  <si>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</si>
  <si>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</si>
  <si>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</si>
  <si>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</si>
  <si>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</si>
  <si>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</si>
  <si>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</si>
  <si>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</si>
  <si>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</si>
  <si>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</si>
  <si>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</si>
  <si>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</si>
  <si>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</si>
  <si>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</si>
  <si>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</si>
  <si>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</si>
  <si>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</si>
  <si>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</si>
  <si>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</si>
  <si>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</si>
  <si>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</si>
  <si>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</si>
  <si>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</si>
  <si>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</si>
  <si>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</si>
  <si>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</si>
  <si>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</si>
  <si>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</si>
  <si>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</si>
  <si>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</si>
  <si>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</si>
  <si>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</si>
  <si>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</si>
  <si>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</si>
  <si>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</si>
  <si>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</si>
  <si>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</si>
  <si>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</si>
  <si>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</si>
  <si>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</si>
  <si>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</si>
  <si>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</si>
  <si>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</si>
  <si>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</si>
  <si>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</si>
  <si>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</si>
  <si>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</si>
  <si>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</si>
  <si>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</si>
  <si>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</si>
  <si>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</si>
  <si>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</si>
  <si>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</si>
  <si>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</si>
  <si>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</si>
  <si>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</si>
  <si>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</si>
  <si>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</si>
  <si>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</si>
  <si>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</si>
  <si>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</si>
  <si>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</si>
  <si>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</si>
  <si>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</si>
  <si>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</si>
  <si>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</si>
  <si>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</si>
  <si>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</si>
  <si>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</si>
  <si>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</si>
  <si>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</si>
  <si>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</si>
  <si>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</si>
  <si>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</si>
  <si>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</si>
  <si>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</si>
  <si>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</si>
  <si>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</si>
  <si>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</si>
  <si>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</si>
  <si>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</si>
  <si>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</si>
  <si>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</si>
  <si>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</si>
  <si>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</si>
  <si>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</si>
  <si>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</si>
  <si>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</si>
  <si>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</si>
  <si>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</si>
  <si>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</si>
  <si>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</si>
  <si>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</si>
  <si>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</si>
  <si>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</si>
  <si>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</si>
  <si>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</si>
  <si>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</si>
  <si>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</si>
  <si>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</si>
  <si>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</si>
  <si>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</si>
  <si>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</si>
  <si>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</si>
  <si>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</si>
  <si>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</si>
  <si>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</si>
  <si>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</si>
  <si>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</si>
  <si>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</si>
  <si>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</si>
  <si>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</si>
  <si>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</si>
  <si>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</si>
  <si>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</si>
  <si>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</si>
  <si>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</si>
  <si>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</si>
  <si>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</si>
  <si>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</si>
  <si>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</si>
  <si>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</si>
  <si>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</si>
  <si>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</si>
  <si>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</si>
  <si>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</si>
  <si>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</si>
  <si>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</si>
  <si>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</si>
  <si>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</si>
  <si>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</si>
  <si>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</si>
  <si>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</si>
  <si>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</si>
  <si>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</si>
  <si>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</si>
  <si>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</si>
  <si>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</si>
  <si>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</si>
  <si>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</si>
  <si>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</si>
  <si>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</si>
  <si>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</si>
  <si>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</si>
  <si>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</si>
  <si>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</si>
  <si>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</si>
  <si>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</si>
  <si>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</si>
  <si>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</si>
  <si>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</si>
  <si>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</si>
  <si>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</si>
  <si>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</si>
  <si>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</si>
  <si>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</si>
  <si>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</si>
  <si>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</si>
  <si>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</si>
  <si>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</si>
  <si>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</si>
  <si>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</si>
  <si>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</si>
  <si>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</si>
  <si>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</si>
  <si>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</si>
  <si>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</si>
  <si>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</si>
  <si>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</si>
  <si>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</si>
  <si>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</si>
  <si>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</si>
  <si>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</si>
  <si>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</si>
  <si>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</si>
  <si>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</si>
  <si>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</si>
  <si>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</si>
  <si>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</si>
  <si>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</si>
  <si>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</si>
  <si>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</si>
  <si>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</si>
  <si>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</si>
  <si>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</si>
  <si>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</si>
  <si>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</si>
  <si>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</si>
  <si>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</si>
  <si>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</si>
  <si>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</si>
  <si>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</si>
  <si>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</si>
  <si>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</si>
  <si>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</si>
  <si>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</si>
  <si>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</si>
  <si>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</si>
  <si>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</si>
  <si>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</si>
  <si>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</si>
  <si>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</si>
  <si>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</si>
  <si>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</si>
  <si>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</si>
  <si>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</si>
  <si>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</si>
  <si>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</si>
  <si>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</si>
  <si>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</si>
  <si>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</si>
  <si>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</si>
  <si>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</si>
  <si>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</si>
  <si>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</si>
  <si>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</si>
  <si>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</si>
  <si>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</si>
  <si>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</si>
  <si>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</si>
  <si>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</si>
  <si>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</si>
  <si>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</si>
  <si>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</si>
  <si>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</si>
  <si>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</si>
  <si>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</si>
  <si>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</si>
  <si>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</si>
  <si>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</si>
  <si>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</si>
  <si>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</si>
  <si>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</si>
  <si>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</si>
  <si>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</si>
  <si>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</si>
  <si>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</si>
  <si>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</si>
  <si>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</si>
  <si>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</si>
  <si>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</si>
  <si>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</si>
  <si>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</si>
  <si>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</si>
  <si>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</si>
  <si>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</si>
  <si>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</si>
  <si>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</si>
  <si>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</si>
  <si>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</si>
  <si>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</si>
  <si>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</si>
  <si>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</si>
  <si>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</si>
  <si>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</si>
  <si>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</si>
  <si>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</si>
  <si>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</si>
  <si>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</si>
  <si>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</si>
  <si>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</si>
  <si>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</si>
  <si>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</si>
  <si>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</si>
  <si>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</si>
  <si>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</si>
  <si>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</si>
  <si>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</si>
  <si>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</si>
  <si>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</si>
  <si>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</si>
  <si>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</si>
  <si>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</si>
  <si>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</si>
  <si>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</si>
  <si>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</si>
  <si>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</si>
  <si>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</si>
  <si>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</si>
  <si>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</si>
  <si>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</si>
  <si>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</si>
  <si>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</si>
  <si>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</si>
  <si>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</si>
  <si>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</si>
  <si>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</si>
  <si>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</si>
  <si>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</si>
  <si>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</si>
  <si>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</si>
  <si>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</si>
  <si>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</si>
  <si>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</si>
  <si>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</si>
  <si>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</si>
  <si>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</si>
  <si>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</si>
  <si>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</si>
  <si>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</si>
  <si>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</si>
  <si>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</si>
  <si>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</si>
  <si>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</si>
  <si>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</si>
  <si>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</si>
  <si>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</si>
  <si>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</si>
  <si>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</si>
  <si>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</si>
  <si>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</si>
  <si>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</si>
  <si>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</si>
  <si>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</si>
  <si>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</si>
  <si>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</si>
  <si>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</si>
  <si>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</si>
  <si>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</si>
  <si>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</si>
  <si>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</si>
  <si>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</si>
  <si>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</si>
  <si>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</si>
  <si>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</si>
  <si>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</si>
  <si>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</si>
  <si>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</si>
  <si>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</si>
  <si>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</si>
  <si>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</si>
  <si>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</si>
  <si>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</si>
  <si>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</si>
  <si>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</si>
  <si>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</si>
  <si>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</si>
  <si>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</si>
  <si>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</si>
  <si>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</si>
  <si>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</si>
  <si>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</si>
  <si>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</si>
  <si>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</si>
  <si>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</si>
  <si>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</si>
  <si>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</si>
  <si>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</si>
  <si>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</si>
  <si>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</si>
  <si>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</si>
  <si>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</si>
  <si>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</si>
  <si>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</si>
  <si>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</si>
  <si>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</si>
  <si>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</si>
  <si>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</si>
  <si>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</si>
  <si>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</si>
  <si>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</si>
  <si>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</si>
  <si>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</si>
  <si>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</si>
  <si>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</si>
  <si>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</si>
  <si>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</si>
  <si>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</si>
  <si>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</si>
  <si>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</si>
  <si>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</si>
  <si>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</si>
  <si>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</si>
  <si>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</si>
  <si>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</si>
  <si>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</si>
  <si>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</si>
  <si>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</si>
  <si>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</si>
  <si>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</si>
  <si>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</si>
  <si>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</si>
  <si>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</si>
  <si>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</si>
  <si>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</si>
  <si>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</si>
  <si>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</si>
  <si>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</si>
  <si>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</si>
  <si>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</si>
  <si>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</si>
  <si>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</si>
  <si>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</si>
  <si>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</si>
  <si>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</si>
  <si>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</si>
  <si>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</si>
  <si>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</si>
  <si>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</si>
  <si>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</si>
  <si>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</si>
  <si>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</si>
  <si>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</si>
  <si>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</si>
  <si>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</si>
  <si>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</si>
  <si>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</si>
  <si>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</si>
  <si>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</si>
  <si>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</si>
  <si>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</si>
  <si>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</si>
  <si>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</si>
  <si>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</si>
  <si>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</si>
  <si>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</si>
  <si>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</si>
  <si>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</si>
  <si>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</si>
  <si>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</si>
  <si>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</si>
  <si>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</si>
  <si>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</si>
  <si>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</si>
  <si>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</si>
  <si>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</si>
  <si>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</si>
  <si>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</si>
  <si>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</si>
  <si>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</si>
  <si>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</si>
  <si>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</si>
  <si>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</si>
  <si>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</si>
  <si>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</si>
  <si>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</si>
  <si>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</si>
  <si>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</si>
  <si>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</si>
  <si>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</si>
  <si>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</si>
  <si>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</si>
  <si>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</si>
  <si>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</si>
  <si>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</si>
  <si>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</si>
  <si>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</si>
  <si>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</si>
  <si>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</si>
  <si>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</si>
  <si>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</si>
  <si>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</si>
  <si>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</si>
  <si>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</si>
  <si>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</si>
  <si>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</si>
  <si>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</si>
  <si>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</si>
  <si>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</si>
  <si>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</si>
  <si>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</si>
  <si>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</si>
  <si>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</si>
  <si>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</si>
  <si>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</si>
  <si>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</si>
  <si>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</si>
  <si>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</si>
  <si>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</si>
  <si>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</si>
  <si>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</si>
  <si>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</si>
  <si>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</si>
  <si>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</si>
  <si>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</si>
  <si>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</si>
  <si>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</si>
  <si>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</si>
  <si>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</si>
  <si>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</si>
  <si>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</si>
  <si>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</si>
  <si>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</si>
  <si>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</si>
  <si>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</si>
  <si>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</si>
  <si>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</si>
  <si>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</si>
  <si>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</si>
  <si>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</si>
  <si>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</si>
  <si>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</si>
  <si>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</si>
  <si>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</si>
  <si>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</si>
  <si>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</si>
  <si>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</si>
  <si>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</si>
  <si>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</si>
  <si>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</si>
  <si>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</si>
  <si>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</si>
  <si>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</si>
  <si>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</si>
  <si>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</si>
  <si>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</si>
  <si>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</si>
  <si>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</si>
  <si>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</si>
  <si>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</si>
  <si>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</si>
  <si>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</si>
  <si>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</si>
  <si>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</si>
  <si>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</si>
  <si>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</si>
  <si>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</si>
  <si>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</si>
  <si>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</si>
  <si>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</si>
  <si>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</si>
  <si>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</si>
  <si>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</si>
  <si>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</si>
  <si>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</si>
  <si>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</si>
  <si>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</si>
  <si>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</si>
  <si>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</si>
  <si>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</si>
  <si>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</si>
  <si>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</si>
  <si>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</si>
  <si>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</si>
  <si>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</si>
  <si>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</si>
  <si>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</si>
  <si>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</si>
  <si>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</si>
  <si>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</si>
  <si>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</si>
  <si>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</si>
  <si>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</si>
  <si>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</si>
  <si>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</si>
  <si>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</si>
  <si>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</si>
  <si>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</si>
  <si>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</si>
  <si>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</si>
  <si>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</si>
  <si>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</si>
  <si>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</si>
  <si>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</si>
  <si>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</si>
  <si>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</si>
  <si>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</si>
  <si>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</si>
  <si>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</si>
  <si>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</si>
  <si>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</si>
  <si>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</si>
  <si>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</si>
  <si>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</si>
  <si>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</si>
  <si>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</si>
  <si>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</si>
  <si>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</si>
  <si>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</si>
  <si>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</si>
  <si>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</si>
  <si>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</si>
  <si>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</si>
  <si>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</si>
  <si>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</si>
  <si>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</si>
  <si>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</si>
  <si>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</si>
  <si>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</si>
  <si>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</si>
  <si>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</si>
  <si>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</si>
  <si>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</si>
  <si>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</si>
  <si>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</si>
  <si>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</si>
  <si>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</si>
  <si>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</si>
  <si>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</si>
  <si>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</si>
  <si>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</si>
  <si>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</si>
  <si>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</si>
  <si>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</si>
  <si>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</si>
  <si>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</si>
  <si>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</si>
  <si>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</si>
  <si>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</si>
  <si>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</si>
  <si>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</si>
  <si>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</si>
  <si>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</si>
  <si>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</si>
  <si>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</si>
  <si>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</si>
  <si>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</si>
  <si>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</si>
  <si>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</si>
  <si>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</si>
  <si>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</si>
  <si>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</si>
  <si>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</si>
  <si>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</si>
  <si>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</si>
  <si>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</si>
  <si>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</si>
  <si>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</si>
  <si>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</si>
  <si>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</si>
  <si>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</si>
  <si>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</si>
  <si>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</si>
  <si>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</si>
  <si>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</si>
  <si>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</si>
  <si>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</si>
  <si>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</si>
  <si>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</si>
  <si>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</si>
  <si>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</si>
  <si>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</si>
  <si>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</si>
  <si>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</si>
  <si>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</si>
  <si>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</si>
  <si>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</si>
  <si>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</si>
  <si>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</si>
  <si>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</si>
  <si>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</si>
  <si>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</si>
  <si>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</si>
  <si>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</si>
  <si>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</si>
  <si>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</si>
  <si>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</si>
  <si>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</si>
  <si>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</si>
  <si>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</si>
  <si>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</si>
  <si>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</si>
  <si>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</si>
  <si>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</si>
  <si>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</si>
  <si>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</si>
  <si>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</si>
  <si>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</si>
  <si>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</si>
  <si>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</si>
  <si>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</si>
  <si>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</si>
  <si>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</si>
  <si>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</si>
  <si>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</si>
  <si>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</si>
  <si>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</si>
  <si>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</si>
  <si>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</si>
  <si>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</si>
  <si>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</si>
  <si>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</si>
  <si>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</si>
  <si>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</si>
  <si>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</si>
  <si>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</si>
  <si>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</si>
  <si>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</si>
  <si>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</si>
  <si>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</si>
  <si>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</si>
  <si>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</si>
  <si>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</si>
  <si>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</si>
  <si>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</si>
  <si>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</si>
  <si>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</si>
  <si>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</si>
  <si>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</si>
  <si>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</si>
  <si>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</si>
  <si>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</si>
  <si>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</si>
  <si>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</si>
  <si>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</si>
  <si>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</si>
  <si>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</si>
  <si>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</si>
  <si>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</si>
  <si>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</si>
  <si>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</si>
  <si>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</si>
  <si>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</si>
  <si>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</si>
  <si>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</si>
  <si>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</si>
  <si>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</si>
  <si>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</si>
  <si>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</si>
  <si>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</si>
  <si>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</si>
  <si>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</si>
  <si>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</si>
  <si>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</si>
  <si>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</si>
  <si>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</si>
  <si>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</si>
  <si>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</si>
  <si>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</si>
  <si>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</si>
  <si>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</si>
  <si>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</si>
  <si>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</si>
  <si>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</si>
  <si>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</si>
  <si>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</si>
  <si>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</si>
  <si>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</si>
  <si>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</si>
  <si>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</si>
  <si>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</si>
  <si>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</si>
  <si>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</si>
  <si>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</si>
  <si>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</si>
  <si>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</si>
  <si>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</si>
  <si>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</si>
  <si>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</si>
  <si>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</si>
  <si>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</si>
  <si>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</si>
  <si>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</si>
  <si>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</si>
  <si>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</si>
  <si>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</si>
  <si>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</si>
  <si>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</si>
  <si>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</si>
  <si>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</si>
  <si>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</si>
  <si>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</si>
  <si>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</si>
  <si>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</si>
  <si>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</si>
  <si>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</si>
  <si>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</si>
  <si>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</si>
  <si>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</si>
  <si>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</si>
  <si>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</si>
  <si>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</si>
  <si>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</si>
  <si>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</si>
  <si>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</si>
  <si>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</si>
  <si>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</si>
  <si>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</si>
  <si>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</si>
  <si>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</si>
  <si>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</si>
  <si>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</si>
  <si>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</si>
  <si>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</si>
  <si>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</si>
  <si>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</si>
  <si>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</si>
  <si>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</si>
  <si>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</si>
  <si>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</si>
  <si>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</si>
  <si>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</si>
  <si>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</si>
  <si>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</si>
  <si>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</si>
  <si>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</si>
  <si>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</si>
  <si>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</si>
  <si>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</si>
  <si>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</si>
  <si>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</si>
  <si>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</si>
  <si>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</si>
  <si>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</si>
  <si>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</si>
  <si>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</si>
  <si>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</si>
  <si>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</si>
  <si>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</si>
  <si>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</si>
  <si>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</si>
  <si>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</si>
  <si>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</si>
  <si>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</si>
  <si>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</si>
  <si>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</si>
  <si>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</si>
  <si>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</si>
  <si>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</si>
  <si>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</si>
  <si>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</si>
  <si>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</si>
  <si>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</si>
  <si>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</si>
  <si>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</si>
  <si>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</si>
  <si>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</si>
  <si>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</si>
  <si>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</si>
  <si>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</si>
  <si>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</si>
  <si>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</si>
  <si>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</si>
  <si>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</si>
  <si>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</si>
  <si>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</si>
  <si>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</si>
  <si>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</si>
  <si>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</si>
  <si>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</si>
  <si>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</si>
  <si>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</si>
  <si>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</si>
  <si>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</si>
  <si>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</si>
  <si>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</si>
  <si>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</si>
  <si>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</si>
  <si>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</si>
  <si>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</si>
  <si>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</si>
  <si>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</si>
  <si>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</si>
  <si>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</si>
  <si>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</si>
  <si>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</si>
  <si>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</si>
  <si>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</si>
  <si>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</si>
  <si>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</si>
  <si>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</si>
  <si>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</si>
  <si>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</si>
  <si>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</si>
  <si>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</si>
  <si>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</si>
  <si>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</si>
  <si>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</si>
  <si>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</si>
  <si>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</si>
  <si>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</si>
  <si>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</si>
  <si>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</si>
  <si>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</si>
  <si>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</si>
  <si>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</si>
  <si>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</si>
  <si>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</si>
  <si>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</si>
  <si>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</si>
  <si>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</si>
  <si>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</si>
  <si>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</si>
  <si>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</si>
  <si>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</si>
  <si>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</si>
  <si>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</si>
  <si>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</si>
  <si>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</si>
  <si>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</si>
  <si>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</si>
  <si>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</si>
  <si>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</si>
  <si>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</si>
  <si>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</si>
  <si>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</si>
  <si>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</si>
  <si>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</si>
  <si>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</si>
  <si>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</si>
  <si>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</si>
  <si>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</si>
  <si>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</si>
  <si>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</si>
  <si>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</si>
  <si>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</si>
  <si>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</si>
  <si>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</si>
  <si>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</si>
  <si>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</si>
  <si>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</si>
  <si>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</si>
  <si>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</si>
  <si>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</si>
  <si>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</si>
  <si>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</si>
  <si>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</si>
  <si>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</si>
  <si>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</si>
  <si>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</si>
  <si>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</si>
  <si>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</si>
  <si>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</si>
  <si>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</si>
  <si>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</si>
  <si>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</si>
  <si>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</si>
  <si>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</si>
  <si>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</si>
  <si>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</si>
  <si>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</si>
  <si>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</si>
  <si>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</si>
  <si>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</si>
  <si>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</si>
  <si>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</si>
  <si>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</si>
  <si>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</si>
  <si>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</si>
  <si>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</si>
  <si>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</si>
  <si>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</si>
  <si>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</si>
  <si>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</si>
  <si>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</si>
  <si>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</si>
  <si>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</si>
  <si>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</si>
  <si>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</si>
  <si>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</si>
  <si>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</si>
  <si>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</si>
  <si>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</si>
  <si>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</si>
  <si>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</si>
  <si>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</si>
  <si>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</si>
  <si>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</si>
  <si>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</si>
  <si>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</si>
  <si>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</si>
  <si>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</si>
  <si>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</si>
  <si>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</si>
  <si>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</si>
  <si>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</si>
  <si>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</si>
  <si>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</si>
  <si>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</si>
  <si>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</si>
  <si>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</si>
  <si>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</si>
  <si>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</si>
  <si>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</si>
  <si>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</si>
  <si>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</si>
  <si>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</si>
  <si>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</si>
  <si>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</si>
  <si>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</si>
  <si>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</si>
  <si>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</si>
  <si>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</si>
  <si>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</si>
  <si>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</si>
  <si>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</si>
  <si>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</si>
  <si>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</si>
  <si>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</si>
  <si>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</si>
  <si>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</si>
  <si>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</si>
  <si>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</si>
  <si>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</si>
  <si>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</si>
  <si>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</si>
  <si>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</si>
  <si>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</si>
  <si>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</si>
  <si>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</si>
  <si>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</si>
  <si>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</si>
  <si>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</si>
  <si>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</si>
  <si>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</si>
  <si>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</si>
  <si>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</si>
  <si>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</si>
  <si>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</si>
  <si>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</si>
  <si>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</si>
  <si>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</si>
  <si>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</si>
  <si>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</si>
  <si>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</si>
  <si>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</si>
  <si>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</si>
  <si>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</si>
  <si>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</si>
  <si>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</si>
  <si>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</si>
  <si>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</si>
  <si>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</si>
  <si>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</si>
  <si>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</si>
  <si>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</si>
  <si>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</si>
  <si>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</si>
  <si>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</si>
  <si>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</si>
  <si>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</si>
  <si>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</si>
  <si>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</si>
  <si>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</si>
  <si>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</si>
  <si>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</si>
  <si>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</si>
  <si>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</si>
  <si>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</si>
  <si>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</si>
  <si>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</si>
  <si>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</si>
  <si>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</si>
  <si>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</si>
  <si>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</si>
  <si>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</si>
  <si>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</si>
  <si>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</si>
  <si>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</si>
  <si>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</si>
  <si>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</si>
  <si>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</si>
  <si>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</si>
  <si>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</si>
  <si>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</si>
  <si>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</si>
  <si>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</si>
  <si>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</si>
  <si>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</si>
  <si>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</si>
  <si>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</si>
  <si>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</si>
  <si>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</si>
  <si>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</si>
  <si>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</si>
  <si>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</si>
  <si>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</si>
  <si>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</si>
  <si>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</si>
  <si>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</si>
  <si>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</si>
  <si>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</si>
  <si>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</si>
  <si>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</si>
  <si>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</si>
  <si>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</si>
  <si>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</si>
  <si>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</si>
  <si>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</si>
  <si>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</si>
  <si>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</si>
  <si>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</si>
  <si>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</si>
  <si>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</si>
  <si>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</si>
  <si>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</si>
  <si>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</si>
  <si>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</si>
  <si>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</si>
  <si>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</si>
  <si>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</si>
  <si>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</si>
  <si>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</si>
  <si>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</si>
  <si>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</si>
  <si>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</si>
  <si>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</si>
  <si>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</si>
  <si>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</si>
  <si>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</si>
  <si>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</si>
  <si>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</si>
  <si>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</si>
  <si>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</si>
  <si>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</si>
  <si>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</si>
  <si>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</si>
  <si>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</si>
  <si>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</si>
  <si>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</si>
  <si>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</si>
  <si>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</si>
  <si>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</si>
  <si>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</si>
  <si>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</si>
  <si>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</si>
  <si>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</si>
  <si>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</si>
  <si>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</si>
  <si>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</si>
  <si>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</si>
  <si>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</si>
  <si>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</si>
  <si>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</si>
  <si>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</si>
  <si>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</si>
  <si>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</si>
  <si>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</si>
  <si>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</si>
  <si>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</si>
  <si>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</si>
  <si>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</si>
  <si>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</si>
  <si>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</si>
  <si>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</si>
  <si>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</si>
  <si>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</si>
  <si>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</si>
  <si>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</si>
  <si>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</si>
  <si>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</si>
  <si>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</si>
  <si>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</si>
  <si>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</si>
  <si>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</si>
  <si>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</si>
  <si>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</si>
  <si>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</si>
  <si>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</si>
  <si>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</si>
  <si>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</si>
  <si>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</si>
  <si>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</si>
  <si>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</si>
  <si>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</si>
  <si>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</si>
  <si>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</si>
  <si>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</si>
  <si>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</si>
  <si>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</si>
  <si>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</si>
  <si>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</si>
  <si>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</si>
  <si>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</si>
  <si>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</si>
  <si>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</si>
  <si>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</si>
  <si>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</si>
  <si>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</si>
  <si>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</si>
  <si>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</si>
  <si>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</si>
  <si>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</si>
  <si>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</si>
  <si>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</si>
  <si>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</si>
  <si>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</si>
  <si>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</si>
  <si>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</si>
  <si>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</si>
  <si>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</si>
  <si>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</si>
  <si>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</si>
  <si>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</si>
  <si>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</si>
  <si>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</si>
  <si>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</si>
  <si>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</si>
  <si>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</si>
  <si>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</si>
  <si>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</si>
  <si>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</si>
  <si>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</si>
  <si>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</si>
  <si>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</si>
  <si>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</si>
  <si>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</si>
  <si>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</si>
  <si>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</si>
  <si>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</si>
  <si>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</si>
  <si>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</si>
  <si>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</si>
  <si>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</si>
  <si>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</si>
  <si>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</si>
  <si>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</si>
  <si>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</si>
  <si>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</si>
  <si>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</si>
  <si>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</si>
  <si>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</si>
  <si>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</si>
  <si>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</si>
  <si>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</si>
  <si>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</si>
  <si>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</si>
  <si>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</si>
  <si>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</si>
  <si>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</si>
  <si>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</si>
  <si>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</si>
  <si>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</si>
  <si>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</si>
  <si>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</si>
  <si>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</si>
  <si>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</si>
  <si>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</si>
  <si>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</si>
  <si>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</si>
  <si>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</si>
  <si>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</si>
  <si>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</si>
  <si>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</si>
  <si>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</si>
  <si>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</si>
  <si>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</si>
  <si>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</si>
  <si>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</si>
  <si>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</si>
  <si>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</si>
  <si>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</si>
  <si>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</si>
  <si>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</si>
  <si>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</si>
  <si>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</si>
  <si>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</si>
  <si>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</si>
  <si>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</si>
  <si>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</si>
  <si>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</si>
  <si>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</si>
  <si>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</si>
  <si>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</si>
  <si>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</si>
  <si>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</si>
  <si>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</si>
  <si>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</si>
  <si>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</si>
  <si>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</si>
  <si>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</si>
  <si>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</si>
  <si>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</si>
  <si>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</si>
  <si>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</si>
  <si>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</si>
  <si>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</si>
  <si>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</si>
  <si>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</si>
  <si>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</si>
  <si>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</si>
  <si>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</si>
  <si>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</si>
  <si>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</si>
  <si>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</si>
  <si>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</si>
  <si>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</si>
  <si>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</si>
  <si>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</si>
  <si>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</si>
  <si>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</si>
  <si>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</si>
  <si>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</si>
  <si>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</si>
  <si>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</si>
  <si>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</si>
  <si>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</si>
  <si>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</si>
  <si>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</si>
  <si>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</si>
  <si>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</si>
  <si>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</si>
  <si>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</si>
  <si>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</si>
  <si>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</si>
  <si>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</si>
  <si>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</si>
  <si>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</si>
  <si>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</si>
  <si>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</si>
  <si>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</si>
  <si>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</si>
  <si>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</si>
  <si>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</si>
  <si>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</si>
  <si>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</si>
  <si>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</si>
  <si>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</si>
  <si>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</si>
  <si>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</si>
  <si>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</si>
  <si>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</si>
  <si>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</si>
  <si>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</si>
  <si>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</si>
  <si>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</si>
  <si>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</si>
  <si>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</si>
  <si>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</si>
  <si>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</si>
  <si>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</si>
  <si>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</si>
  <si>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</si>
  <si>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</si>
  <si>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</si>
  <si>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</si>
  <si>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</si>
  <si>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</si>
  <si>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</si>
  <si>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</si>
  <si>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</si>
  <si>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</si>
  <si>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</si>
  <si>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</si>
  <si>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</si>
  <si>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</si>
  <si>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</si>
  <si>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</si>
  <si>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</si>
  <si>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</si>
  <si>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</si>
  <si>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</si>
  <si>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</si>
  <si>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</si>
  <si>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</si>
  <si>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</si>
  <si>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</si>
  <si>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</si>
  <si>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</si>
  <si>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</si>
  <si>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</si>
  <si>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</si>
  <si>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</si>
  <si>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</si>
  <si>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</si>
  <si>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</si>
  <si>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</si>
  <si>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</si>
  <si>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</si>
  <si>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</si>
  <si>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</si>
  <si>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</si>
  <si>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</si>
  <si>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</si>
  <si>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</si>
  <si>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</si>
  <si>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</si>
  <si>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</si>
  <si>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</si>
  <si>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</si>
  <si>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</si>
  <si>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</si>
  <si>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</si>
  <si>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</si>
  <si>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</si>
  <si>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</si>
  <si>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</si>
  <si>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</si>
  <si>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</si>
  <si>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</si>
  <si>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</si>
  <si>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</si>
  <si>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</si>
  <si>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</si>
  <si>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</si>
  <si>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</si>
  <si>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</si>
  <si>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</si>
  <si>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</si>
  <si>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</si>
  <si>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</si>
  <si>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</si>
  <si>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</si>
  <si>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</si>
  <si>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</si>
  <si>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</si>
  <si>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</si>
  <si>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</si>
  <si>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</si>
  <si>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</si>
  <si>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</si>
  <si>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</si>
  <si>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</si>
  <si>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</si>
  <si>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</si>
  <si>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</si>
  <si>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</si>
  <si>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</si>
  <si>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</si>
  <si>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</si>
  <si>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</si>
  <si>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</si>
  <si>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</si>
  <si>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</si>
  <si>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</si>
  <si>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</si>
  <si>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</si>
  <si>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</si>
  <si>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</si>
  <si>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</si>
  <si>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</si>
  <si>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</si>
  <si>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</si>
  <si>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</si>
  <si>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</si>
  <si>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</si>
  <si>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</si>
  <si>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</si>
  <si>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</si>
  <si>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</si>
  <si>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</si>
  <si>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</si>
  <si>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</si>
  <si>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</si>
  <si>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</si>
  <si>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</si>
  <si>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</si>
  <si>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</si>
  <si>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</si>
  <si>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</si>
  <si>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</si>
  <si>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</si>
  <si>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</si>
  <si>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</si>
  <si>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</si>
  <si>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</si>
  <si>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</si>
  <si>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</si>
  <si>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</si>
  <si>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</si>
  <si>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</si>
  <si>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</si>
  <si>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</si>
  <si>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</si>
  <si>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</si>
  <si>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</si>
  <si>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</si>
  <si>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</si>
  <si>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</si>
  <si>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</si>
  <si>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</si>
  <si>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</si>
  <si>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</si>
  <si>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</si>
  <si>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</si>
  <si>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</si>
  <si>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</si>
  <si>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</si>
  <si>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</si>
  <si>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</si>
  <si>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</si>
  <si>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</si>
  <si>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</si>
  <si>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</si>
  <si>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</si>
  <si>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</si>
  <si>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</si>
  <si>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</si>
  <si>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</si>
  <si>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</si>
  <si>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</si>
  <si>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</si>
  <si>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</si>
  <si>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</si>
  <si>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</si>
  <si>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</si>
  <si>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</si>
  <si>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</si>
  <si>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</si>
  <si>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</si>
  <si>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</si>
  <si>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</si>
  <si>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</si>
  <si>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</si>
  <si>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</si>
  <si>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</si>
  <si>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</si>
  <si>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</si>
  <si>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</si>
  <si>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</si>
  <si>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</si>
  <si>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</si>
  <si>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</si>
  <si>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</si>
  <si>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</si>
  <si>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</si>
  <si>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</si>
  <si>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</si>
  <si>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</si>
  <si>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</si>
  <si>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</si>
  <si>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</si>
  <si>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</si>
  <si>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</si>
  <si>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</si>
  <si>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</si>
  <si>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</si>
  <si>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</si>
  <si>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</si>
  <si>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</si>
  <si>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</si>
  <si>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</si>
  <si>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</si>
  <si>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</si>
  <si>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</si>
  <si>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</si>
  <si>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</si>
  <si>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</si>
  <si>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</si>
  <si>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</si>
  <si>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</si>
  <si>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</si>
  <si>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</si>
  <si>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</si>
  <si>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</si>
  <si>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</si>
  <si>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</si>
  <si>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</si>
  <si>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</si>
  <si>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</si>
  <si>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</si>
  <si>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</si>
  <si>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</si>
  <si>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</si>
  <si>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</si>
  <si>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</si>
  <si>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</si>
  <si>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</si>
  <si>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</si>
  <si>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</si>
  <si>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</si>
  <si>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</si>
  <si>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</si>
  <si>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</si>
  <si>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</si>
  <si>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</si>
  <si>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</si>
  <si>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</si>
  <si>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</si>
  <si>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</si>
  <si>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</si>
  <si>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</si>
  <si>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</si>
  <si>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</si>
  <si>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</si>
  <si>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</si>
  <si>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</si>
  <si>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</si>
  <si>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</si>
  <si>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</si>
  <si>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</si>
  <si>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</si>
  <si>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</si>
  <si>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</si>
  <si>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</si>
  <si>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</si>
  <si>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</si>
  <si>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</si>
  <si>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</si>
  <si>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</si>
  <si>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</si>
  <si>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</si>
  <si>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</si>
  <si>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</si>
  <si>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</si>
  <si>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</si>
  <si>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</si>
  <si>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</si>
  <si>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</si>
  <si>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</si>
  <si>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</si>
  <si>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</si>
  <si>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</si>
  <si>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</si>
  <si>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</si>
  <si>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</si>
  <si>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</si>
  <si>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</si>
  <si>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</si>
  <si>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</si>
  <si>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</si>
  <si>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</si>
  <si>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</si>
  <si>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</si>
  <si>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</si>
  <si>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</si>
  <si>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</si>
  <si>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</si>
  <si>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</si>
  <si>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</si>
  <si>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</si>
  <si>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</si>
  <si>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</si>
  <si>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</si>
  <si>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</si>
  <si>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</si>
  <si>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</si>
  <si>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</si>
  <si>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</si>
  <si>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</si>
  <si>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</si>
  <si>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</si>
  <si>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</si>
  <si>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</si>
  <si>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</si>
  <si>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</si>
  <si>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</si>
  <si>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</si>
  <si>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</si>
  <si>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</si>
  <si>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</si>
  <si>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</si>
  <si>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</si>
  <si>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</si>
  <si>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</si>
  <si>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</si>
  <si>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</si>
  <si>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</si>
  <si>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</si>
  <si>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</si>
  <si>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</si>
  <si>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</si>
  <si>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</si>
  <si>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</si>
  <si>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</si>
  <si>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</si>
  <si>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</si>
  <si>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</si>
  <si>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</si>
  <si>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</si>
  <si>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</si>
  <si>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</si>
  <si>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</si>
  <si>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</si>
  <si>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</si>
  <si>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</si>
  <si>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</si>
  <si>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</si>
  <si>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</si>
  <si>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</si>
  <si>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</si>
  <si>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</si>
  <si>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</si>
  <si>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</si>
  <si>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</si>
  <si>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</si>
  <si>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</si>
  <si>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</si>
  <si>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</si>
  <si>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</si>
  <si>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</si>
  <si>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</si>
  <si>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</si>
  <si>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</si>
  <si>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</si>
  <si>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</si>
  <si>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</si>
  <si>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</si>
  <si>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</si>
  <si>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</si>
  <si>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</si>
  <si>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</si>
  <si>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</si>
  <si>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</si>
  <si>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</si>
  <si>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</si>
  <si>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</si>
  <si>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</si>
  <si>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</si>
  <si>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</si>
  <si>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</si>
  <si>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</si>
  <si>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</si>
  <si>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</si>
  <si>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</si>
  <si>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</si>
  <si>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</si>
  <si>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</si>
  <si>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</si>
  <si>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</si>
  <si>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</si>
  <si>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</si>
  <si>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</si>
  <si>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</si>
  <si>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</si>
  <si>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</si>
  <si>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</si>
  <si>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</si>
  <si>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</si>
  <si>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</si>
  <si>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</si>
  <si>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</si>
  <si>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</si>
  <si>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</si>
  <si>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</si>
  <si>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</si>
  <si>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</si>
  <si>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</si>
  <si>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</si>
  <si>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</si>
  <si>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</si>
  <si>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</si>
  <si>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</si>
  <si>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</si>
  <si>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</si>
  <si>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</si>
  <si>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</si>
  <si>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</si>
  <si>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</si>
  <si>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</si>
  <si>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</si>
  <si>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</si>
  <si>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</si>
  <si>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</si>
  <si>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</si>
  <si>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</si>
  <si>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</si>
  <si>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</si>
  <si>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</si>
  <si>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</si>
  <si>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</si>
  <si>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</si>
  <si>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</si>
  <si>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</si>
  <si>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</si>
  <si>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</si>
  <si>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</si>
  <si>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</si>
  <si>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</si>
  <si>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</si>
  <si>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</si>
  <si>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</si>
  <si>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</si>
  <si>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</si>
  <si>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</si>
  <si>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</si>
  <si>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</si>
  <si>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</si>
  <si>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</si>
  <si>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</si>
  <si>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</si>
  <si>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</si>
  <si>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</si>
  <si>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</si>
  <si>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</si>
  <si>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</si>
  <si>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</si>
  <si>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</si>
  <si>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</si>
  <si>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</si>
  <si>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</si>
  <si>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</si>
  <si>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</si>
  <si>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</si>
  <si>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</si>
  <si>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</si>
  <si>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</si>
  <si>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</si>
  <si>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</si>
  <si>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</si>
  <si>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</si>
  <si>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</si>
  <si>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</si>
  <si>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</si>
  <si>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</si>
  <si>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</si>
  <si>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</si>
  <si>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</si>
  <si>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</si>
  <si>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</si>
  <si>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</si>
  <si>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</si>
  <si>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</si>
  <si>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</si>
  <si>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</si>
  <si>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</si>
  <si>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</si>
  <si>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</si>
  <si>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</si>
  <si>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</si>
  <si>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</si>
  <si>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</si>
  <si>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</si>
  <si>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</si>
  <si>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</si>
  <si>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</si>
  <si>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</si>
  <si>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</si>
  <si>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</si>
  <si>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</si>
  <si>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</si>
  <si>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</si>
  <si>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</si>
  <si>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</si>
  <si>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</si>
  <si>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</si>
  <si>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</si>
  <si>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</si>
  <si>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</si>
  <si>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</si>
  <si>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</si>
  <si>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</si>
  <si>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</si>
  <si>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</si>
  <si>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</si>
  <si>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</si>
  <si>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</si>
  <si>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</si>
  <si>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</si>
  <si>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</si>
  <si>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</si>
  <si>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</si>
  <si>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</si>
  <si>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</si>
  <si>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</si>
  <si>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</si>
  <si>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</si>
  <si>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</si>
  <si>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</si>
  <si>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</si>
  <si>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</si>
  <si>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</si>
  <si>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</si>
  <si>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</si>
  <si>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</si>
  <si>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</si>
  <si>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</si>
  <si>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</si>
  <si>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</si>
  <si>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</si>
  <si>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</si>
  <si>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</si>
  <si>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</si>
  <si>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</si>
  <si>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</si>
  <si>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</si>
  <si>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</si>
  <si>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</si>
  <si>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</si>
  <si>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</si>
  <si>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</si>
  <si>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</si>
  <si>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</si>
  <si>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</si>
  <si>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</si>
  <si>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</si>
  <si>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</si>
  <si>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</si>
  <si>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</si>
  <si>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</si>
  <si>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</si>
  <si>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</si>
  <si>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</si>
  <si>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</si>
  <si>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</si>
  <si>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</si>
  <si>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</si>
  <si>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</si>
  <si>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</si>
  <si>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</si>
  <si>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</si>
  <si>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</si>
  <si>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</si>
  <si>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</si>
  <si>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</si>
  <si>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</si>
  <si>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</si>
  <si>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</si>
  <si>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</si>
  <si>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</si>
  <si>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</si>
  <si>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</si>
  <si>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</si>
  <si>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</si>
  <si>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</si>
  <si>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</si>
  <si>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</si>
  <si>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</si>
  <si>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</si>
  <si>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</si>
  <si>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</si>
  <si>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</si>
  <si>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</si>
  <si>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</si>
  <si>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</si>
  <si>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</si>
  <si>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</si>
  <si>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</si>
  <si>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</si>
  <si>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</si>
  <si>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</si>
  <si>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</si>
  <si>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</si>
  <si>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</si>
  <si>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</si>
  <si>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</si>
  <si>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</si>
  <si>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</si>
  <si>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</si>
  <si>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</si>
  <si>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</si>
  <si>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</si>
  <si>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</si>
  <si>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</si>
  <si>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</si>
  <si>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</si>
  <si>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</si>
  <si>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</si>
  <si>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</si>
  <si>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</si>
  <si>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</si>
  <si>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</si>
  <si>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</si>
  <si>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</si>
  <si>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</si>
  <si>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</si>
  <si>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</si>
  <si>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</si>
  <si>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</si>
  <si>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</si>
  <si>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</si>
  <si>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</si>
  <si>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</si>
  <si>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</si>
  <si>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</si>
  <si>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</si>
  <si>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</si>
  <si>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</si>
  <si>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</si>
  <si>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</si>
  <si>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</si>
  <si>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</si>
  <si>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</si>
  <si>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</si>
  <si>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</si>
  <si>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</si>
  <si>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</si>
  <si>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</si>
  <si>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</si>
  <si>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</si>
  <si>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</si>
  <si>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</si>
  <si>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</si>
  <si>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</si>
  <si>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</si>
  <si>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</si>
  <si>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</si>
  <si>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</si>
  <si>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</si>
  <si>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</si>
  <si>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</si>
  <si>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</si>
  <si>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</si>
  <si>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</si>
  <si>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</si>
  <si>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JENNIFER GSTALDER</t>
  </si>
  <si>
    <t xml:space="preserve">ARRE</t>
  </si>
  <si>
    <t xml:space="preserve">ARRE A SAINT-ANDRE-DE-MAJENCOULES</t>
  </si>
  <si>
    <t xml:space="preserve">06181906</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</si>
  <si>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</si>
  <si>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</si>
  <si>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</si>
  <si>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</si>
  <si>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</si>
  <si>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</si>
  <si>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</si>
  <si>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</si>
  <si>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ch. lentique</t>
  </si>
  <si>
    <t xml:space="preserve">niveau trophique</t>
  </si>
  <si>
    <t xml:space="preserve">moyen</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</si>
  <si>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</si>
  <si>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</si>
  <si>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</si>
  <si>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</si>
  <si>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</si>
  <si>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</si>
  <si>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</si>
  <si>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</si>
  <si>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</si>
  <si>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</si>
  <si>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</si>
  <si>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</si>
  <si>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</si>
  <si>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</si>
  <si>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</si>
  <si>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</si>
  <si>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</si>
  <si>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</si>
  <si>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</si>
  <si>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</si>
  <si>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</si>
  <si>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</si>
  <si>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</si>
  <si>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</si>
  <si>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</si>
  <si>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</si>
  <si>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</si>
  <si>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</si>
  <si>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</si>
  <si>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</si>
  <si>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</si>
  <si>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</si>
  <si>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</si>
  <si>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</si>
  <si>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</si>
  <si>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</si>
  <si>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</si>
  <si>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</si>
  <si>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</si>
  <si>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</si>
  <si>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</si>
  <si>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</si>
  <si>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</si>
  <si>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</si>
  <si>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</si>
  <si>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</si>
  <si>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</si>
  <si>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</si>
  <si>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</si>
  <si>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</si>
  <si>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</si>
  <si>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</si>
  <si>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</si>
  <si>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</si>
  <si>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</si>
  <si>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</si>
  <si>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</si>
  <si>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</si>
  <si>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</si>
  <si>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NEWCOD</t>
  </si>
  <si>
    <t xml:space="preserve">Cyperaceae</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</si>
  <si>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</si>
  <si>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</si>
  <si>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</si>
  <si>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</si>
  <si>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</si>
  <si>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</si>
  <si>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</si>
  <si>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</si>
  <si>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</si>
  <si>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</si>
  <si>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</si>
  <si>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</si>
  <si>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</si>
  <si>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</si>
  <si>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</si>
  <si>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</si>
  <si>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</si>
  <si>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</si>
  <si>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</si>
  <si>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</si>
  <si>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</si>
  <si>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</si>
  <si>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</si>
  <si>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</si>
  <si>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</si>
  <si>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</si>
  <si>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</si>
  <si>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</si>
  <si>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</si>
  <si>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mouille</t>
  </si>
  <si>
    <t xml:space="preserve">pl. lent</t>
  </si>
  <si>
    <t xml:space="preserve">f. de dissipation</t>
  </si>
  <si>
    <t xml:space="preserve">autre</t>
  </si>
  <si>
    <t xml:space="preserve">Confer</t>
  </si>
  <si>
    <t xml:space="preserve">périphyton</t>
  </si>
  <si>
    <t xml:space="preserve">absent</t>
  </si>
  <si>
    <t xml:space="preserve">peu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</si>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</sst>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n">
        <v>42563</v>
      </c>
      <c r="C4" s="306"/>
      <c r="D4" s="307"/>
      <c r="E4" s="307"/>
      <c r="F4" s="306"/>
      <c r="G4" s="308"/>
      <c r="H4" s="307"/>
      <c r="I4" s="281"/>
      <c r="J4" s="309" t="s">
        <v>3382</v>
      </c>
      <c r="K4" s="310"/>
      <c r="L4" s="310"/>
      <c r="M4" s="311"/>
      <c r="N4" s="311"/>
      <c r="O4" s="312" t="s">
        <v>3383</v>
      </c>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t="n">
        <v>11.1153846153846</v>
      </c>
      <c r="N5" s="324"/>
      <c r="O5" s="325" t="s">
        <v>134</v>
      </c>
      <c r="P5" s="326" t="n">
        <v>12.0454545454545</v>
      </c>
      <c r="Q5" s="327"/>
      <c r="R5" s="281"/>
      <c r="S5" s="281"/>
      <c r="T5" s="281"/>
      <c r="U5" s="281"/>
      <c r="V5" s="281"/>
      <c r="W5" s="295"/>
      <c r="X5" s="0"/>
      <c r="Y5" s="0"/>
      <c r="Z5" s="0"/>
    </row>
    <row r="6" customFormat="false" ht="13.5" hidden="false" customHeight="false" outlineLevel="0" collapsed="false">
      <c r="A6" s="314" t="s">
        <v>3387</v>
      </c>
      <c r="B6" s="328" t="s">
        <v>3388</v>
      </c>
      <c r="C6" s="329" t="s">
        <v>3389</v>
      </c>
      <c r="D6" s="330"/>
      <c r="E6" s="330"/>
      <c r="F6" s="331"/>
      <c r="G6" s="319"/>
      <c r="H6" s="317"/>
      <c r="I6" s="281"/>
      <c r="J6" s="332"/>
      <c r="K6" s="333"/>
      <c r="L6" s="334" t="s">
        <v>3390</v>
      </c>
      <c r="M6" s="335" t="s">
        <v>3391</v>
      </c>
      <c r="N6" s="336"/>
      <c r="O6" s="337" t="n">
        <v>2</v>
      </c>
      <c r="P6" s="338" t="s">
        <v>3392</v>
      </c>
      <c r="Q6" s="339"/>
      <c r="R6" s="281"/>
      <c r="S6" s="281"/>
      <c r="T6" s="281"/>
      <c r="U6" s="281"/>
      <c r="V6" s="281"/>
      <c r="W6" s="295"/>
      <c r="X6" s="0"/>
      <c r="Y6" s="0"/>
      <c r="Z6" s="0"/>
    </row>
    <row r="7" customFormat="false" ht="12.75" hidden="false" customHeight="false" outlineLevel="0" collapsed="false">
      <c r="A7" s="340" t="s">
        <v>3393</v>
      </c>
      <c r="B7" s="341" t="n">
        <v>58</v>
      </c>
      <c r="C7" s="342" t="n">
        <v>42</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11.3076923076923</v>
      </c>
      <c r="P8" s="356" t="n">
        <f aca="false">IF(ISERROR(AVERAGE(K23:K82)),"  ",AVERAGE(K23:K82))</f>
        <v>1.61538461538462</v>
      </c>
      <c r="Q8" s="357"/>
      <c r="R8" s="281"/>
      <c r="S8" s="281"/>
      <c r="T8" s="281"/>
      <c r="U8" s="281"/>
      <c r="V8" s="281"/>
      <c r="W8" s="295"/>
      <c r="X8" s="0"/>
      <c r="Y8" s="0"/>
      <c r="Z8" s="0"/>
    </row>
    <row r="9" customFormat="false" ht="12.75" hidden="false" customHeight="false" outlineLevel="0" collapsed="false">
      <c r="A9" s="314" t="s">
        <v>3399</v>
      </c>
      <c r="B9" s="358" t="n">
        <v>30</v>
      </c>
      <c r="C9" s="359" t="n">
        <v>20</v>
      </c>
      <c r="D9" s="360"/>
      <c r="E9" s="360"/>
      <c r="F9" s="361" t="n">
        <f aca="false">($B9*$B$7+$C9*$C$7)/100</f>
        <v>25.8</v>
      </c>
      <c r="G9" s="362"/>
      <c r="H9" s="317"/>
      <c r="I9" s="281"/>
      <c r="J9" s="363"/>
      <c r="K9" s="364"/>
      <c r="L9" s="347"/>
      <c r="M9" s="365"/>
      <c r="N9" s="355" t="s">
        <v>3400</v>
      </c>
      <c r="O9" s="356" t="n">
        <f aca="false">IF(ISERROR(STDEVP(J23:J82))," ",STDEVP(J23:J82))</f>
        <v>2.75638044110291</v>
      </c>
      <c r="P9" s="356" t="n">
        <f aca="false">IF(ISERROR(STDEVP(K23:K82)),"  ",STDEVP(K23:K82))</f>
        <v>0.624926031125843</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15</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8</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4</v>
      </c>
      <c r="M13" s="381"/>
      <c r="N13" s="389" t="s">
        <v>3413</v>
      </c>
      <c r="O13" s="390" t="n">
        <f aca="false">COUNTIF(F23:F82,"&gt;0")</f>
        <v>20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2</v>
      </c>
      <c r="M14" s="381"/>
      <c r="N14" s="392" t="s">
        <v>3416</v>
      </c>
      <c r="O14" s="393" t="n">
        <f aca="false">COUNTIF($J$23:$J$82,"&gt;-1")</f>
        <v>13</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5</v>
      </c>
      <c r="M15" s="381"/>
      <c r="N15" s="389" t="s">
        <v>3419</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6</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26.453</v>
      </c>
      <c r="C20" s="433" t="n">
        <f aca="false">SUM(C23:C82)</f>
        <v>20.635</v>
      </c>
      <c r="D20" s="434"/>
      <c r="E20" s="435" t="s">
        <v>3426</v>
      </c>
      <c r="F20" s="436" t="n">
        <f aca="false">($B20*$B$7+$C20*$C$7)/100</f>
        <v>24.00944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15.34274</v>
      </c>
      <c r="C21" s="444" t="n">
        <f aca="false">C20*C7/100</f>
        <v>8.6667</v>
      </c>
      <c r="D21" s="445" t="s">
        <v>3429</v>
      </c>
      <c r="E21" s="446"/>
      <c r="F21" s="447" t="n">
        <f aca="false">B21+C21</f>
        <v>24.00944</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25.1</v>
      </c>
      <c r="C23" s="473" t="n">
        <v>20.2</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23.042</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23.042</v>
      </c>
      <c r="S23" s="485" t="n">
        <f aca="false">IF(OR(ISTEXT(H23),R23=0),"",IF(R23&lt;0.1,1,IF(R23&lt;1,2,IF(R23&lt;10,3,IF(R23&lt;50,4,IF(R23&gt;=50,5,""))))))</f>
        <v>4</v>
      </c>
      <c r="T23" s="485" t="n">
        <f aca="false">IF(ISERROR(S23*J23),0,S23*J23)</f>
        <v>24</v>
      </c>
      <c r="U23" s="485" t="n">
        <f aca="false">IF(ISERROR(S23*J23*K23),0,S23*J23*K23)</f>
        <v>24</v>
      </c>
      <c r="V23" s="485" t="n">
        <f aca="false">IF(ISERROR(S23*K23),0,S23*K23)</f>
        <v>4</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151</v>
      </c>
      <c r="B24" s="490" t="n">
        <v>1</v>
      </c>
      <c r="C24" s="491" t="n">
        <v>0.4</v>
      </c>
      <c r="D24" s="492" t="str">
        <f aca="false">IF(ISERROR(VLOOKUP($A24,'liste reference'!$A$6:$B$1174,2,0)),IF(ISERROR(VLOOKUP($A24,'liste reference'!$B$6:$B$1174,1,0)),"",VLOOKUP($A24,'liste reference'!$B$6:$B$1174,1,0)),VLOOKUP($A24,'liste reference'!$A$6:$B$1174,2,0))</f>
        <v>Diatoma sp.</v>
      </c>
      <c r="E24" s="493" t="e">
        <f aca="false">IF(D24="",0,VLOOKUP(D24,D$22:D23,1,0))</f>
        <v>#N/A</v>
      </c>
      <c r="F24" s="494" t="n">
        <f aca="false">IF(AND(OR(A24="",A24="!!!!!!"),B24="",C24=""),"",IF(OR(AND(B24="",C24=""),ISERROR(C24+B24)),"!!!",($B24*$B$7+$C24*$C$7)/100))</f>
        <v>0.748</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Diatoma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6627</v>
      </c>
      <c r="R24" s="484" t="n">
        <f aca="false">IF(ISTEXT(H24),"",(B24*$B$7/100)+(C24*$C$7/100))</f>
        <v>0.748</v>
      </c>
      <c r="S24" s="485" t="n">
        <f aca="false">IF(OR(ISTEXT(H24),R24=0),"",IF(R24&lt;0.1,1,IF(R24&lt;1,2,IF(R24&lt;10,3,IF(R24&lt;50,4,IF(R24&gt;=50,5,""))))))</f>
        <v>2</v>
      </c>
      <c r="T24" s="485" t="n">
        <f aca="false">IF(ISERROR(S24*J24),0,S24*J24)</f>
        <v>24</v>
      </c>
      <c r="U24" s="485" t="n">
        <f aca="false">IF(ISERROR(S24*J24*K24),0,S24*J24*K24)</f>
        <v>48</v>
      </c>
      <c r="V24" s="501" t="n">
        <f aca="false">IF(ISERROR(S24*K24),0,S24*K24)</f>
        <v>4</v>
      </c>
      <c r="W24" s="502"/>
      <c r="X24" s="503"/>
      <c r="Y24" s="488" t="str">
        <f aca="false">IF(AND(ISNUMBER(F24),OR(A24="",A24="!!!!!!")),"!!!!!!",IF(A24="new.cod","NEWCOD",IF(AND((Z24=""),ISTEXT(A24),A24&lt;&gt;"!!!!!!"),A24,IF(Z24="","",INDEX('liste reference'!$A$6:$A$1174,Z24)))))</f>
        <v>DIASPX</v>
      </c>
      <c r="Z24" s="470" t="n">
        <f aca="false">IF(ISERROR(MATCH(A24,'liste reference'!$A$6:$A$1174,0)),IF(ISERROR(MATCH(A24,'liste reference'!$B$6:$B$1174,0)),"",(MATCH(A24,'liste reference'!$B$6:$B$1174,0))),(MATCH(A24,'liste reference'!$A$6:$A$1174,0)))</f>
        <v>40</v>
      </c>
    </row>
    <row r="25" customFormat="false" ht="12.75" hidden="false" customHeight="false" outlineLevel="0" collapsed="false">
      <c r="A25" s="489" t="s">
        <v>195</v>
      </c>
      <c r="B25" s="490" t="n">
        <v>0.1</v>
      </c>
      <c r="C25" s="491"/>
      <c r="D25" s="492" t="str">
        <f aca="false">IF(ISERROR(VLOOKUP($A25,'liste reference'!$A$6:$B$1174,2,0)),IF(ISERROR(VLOOKUP($A25,'liste reference'!$B$6:$B$1174,1,0)),"",VLOOKUP($A25,'liste reference'!$B$6:$B$1174,1,0)),VLOOKUP($A25,'liste reference'!$A$6:$B$1174,2,0))</f>
        <v>Hildenbrandia sp.</v>
      </c>
      <c r="E25" s="493" t="e">
        <f aca="false">IF(D25="",0,VLOOKUP(D25,D$22:D24,1,0))</f>
        <v>#N/A</v>
      </c>
      <c r="F25" s="494" t="n">
        <f aca="false">IF(AND(OR(A25="",A25="!!!!!!"),B25="",C25=""),"",IF(OR(AND(B25="",C25=""),ISERROR(C25+B25)),"!!!",($B25*$B$7+$C25*$C$7)/100))</f>
        <v>0.058</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Hildenbrandia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1157</v>
      </c>
      <c r="R25" s="484" t="n">
        <f aca="false">IF(ISTEXT(H25),"",(B25*$B$7/100)+(C25*$C$7/100))</f>
        <v>0.058</v>
      </c>
      <c r="S25" s="485" t="n">
        <f aca="false">IF(OR(ISTEXT(H25),R25=0),"",IF(R25&lt;0.1,1,IF(R25&lt;1,2,IF(R25&lt;10,3,IF(R25&lt;50,4,IF(R25&gt;=50,5,""))))))</f>
        <v>1</v>
      </c>
      <c r="T25" s="485" t="n">
        <f aca="false">IF(ISERROR(S25*J25),0,S25*J25)</f>
        <v>15</v>
      </c>
      <c r="U25" s="485" t="n">
        <f aca="false">IF(ISERROR(S25*J25*K25),0,S25*J25*K25)</f>
        <v>30</v>
      </c>
      <c r="V25" s="501" t="n">
        <f aca="false">IF(ISERROR(S25*K25),0,S25*K25)</f>
        <v>2</v>
      </c>
      <c r="W25" s="502"/>
      <c r="X25" s="503"/>
      <c r="Y25" s="488" t="str">
        <f aca="false">IF(AND(ISNUMBER(F25),OR(A25="",A25="!!!!!!")),"!!!!!!",IF(A25="new.cod","NEWCOD",IF(AND((Z25=""),ISTEXT(A25),A25&lt;&gt;"!!!!!!"),A25,IF(Z25="","",INDEX('liste reference'!$A$6:$A$1174,Z25)))))</f>
        <v>HILSPX</v>
      </c>
      <c r="Z25" s="470" t="n">
        <f aca="false">IF(ISERROR(MATCH(A25,'liste reference'!$A$6:$A$1174,0)),IF(ISERROR(MATCH(A25,'liste reference'!$B$6:$B$1174,0)),"",(MATCH(A25,'liste reference'!$B$6:$B$1174,0))),(MATCH(A25,'liste reference'!$A$6:$A$1174,0)))</f>
        <v>53</v>
      </c>
    </row>
    <row r="26" customFormat="false" ht="12.75" hidden="false" customHeight="false" outlineLevel="0" collapsed="false">
      <c r="A26" s="489" t="s">
        <v>300</v>
      </c>
      <c r="B26" s="490" t="n">
        <v>0.005</v>
      </c>
      <c r="C26" s="491"/>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0.0029</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0.0029</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306</v>
      </c>
      <c r="B27" s="490" t="n">
        <v>0.05</v>
      </c>
      <c r="C27" s="491"/>
      <c r="D27" s="492" t="str">
        <f aca="false">IF(ISERROR(VLOOKUP($A27,'liste reference'!$A$6:$B$1174,2,0)),IF(ISERROR(VLOOKUP($A27,'liste reference'!$B$6:$B$1174,1,0)),"",VLOOKUP($A27,'liste reference'!$B$6:$B$1174,1,0)),VLOOKUP($A27,'liste reference'!$A$6:$B$1174,2,0))</f>
        <v>Paralemanea sp.</v>
      </c>
      <c r="E27" s="493" t="e">
        <f aca="false">IF(D27="",0,VLOOKUP(D27,D$22:D26,1,0))</f>
        <v>#N/A</v>
      </c>
      <c r="F27" s="494" t="n">
        <f aca="false">IF(AND(OR(A27="",A27="!!!!!!"),B27="",C27=""),"",IF(OR(AND(B27="",C27=""),ISERROR(C27+B27)),"!!!",($B27*$B$7+$C27*$C$7)/100))</f>
        <v>0.029</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Paralemanea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31566</v>
      </c>
      <c r="R27" s="484" t="n">
        <f aca="false">IF(ISTEXT(H27),"",(B27*$B$7/100)+(C27*$C$7/100))</f>
        <v>0.029</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PAASPX</v>
      </c>
      <c r="Z27" s="470" t="n">
        <f aca="false">IF(ISERROR(MATCH(A27,'liste reference'!$A$6:$A$1174,0)),IF(ISERROR(MATCH(A27,'liste reference'!$B$6:$B$1174,0)),"",(MATCH(A27,'liste reference'!$B$6:$B$1174,0))),(MATCH(A27,'liste reference'!$A$6:$A$1174,0)))</f>
        <v>87</v>
      </c>
    </row>
    <row r="28" customFormat="false" ht="12.75" hidden="false" customHeight="false" outlineLevel="0" collapsed="false">
      <c r="A28" s="489" t="s">
        <v>309</v>
      </c>
      <c r="B28" s="490" t="n">
        <v>0.04</v>
      </c>
      <c r="C28" s="491"/>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0.0232</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0.0232</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343</v>
      </c>
      <c r="B29" s="490" t="n">
        <v>0.005</v>
      </c>
      <c r="C29" s="491" t="n">
        <v>0.005</v>
      </c>
      <c r="D29" s="492" t="str">
        <f aca="false">IF(ISERROR(VLOOKUP($A29,'liste reference'!$A$6:$B$1174,2,0)),IF(ISERROR(VLOOKUP($A29,'liste reference'!$B$6:$B$1174,1,0)),"",VLOOKUP($A29,'liste reference'!$B$6:$B$1174,1,0)),VLOOKUP($A29,'liste reference'!$A$6:$B$1174,2,0))</f>
        <v>Spirogyra sp.</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Spirogyra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1147</v>
      </c>
      <c r="R29" s="484" t="n">
        <f aca="false">IF(ISTEXT(H29),"",(B29*$B$7/100)+(C29*$C$7/100))</f>
        <v>0.005</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SPISPX</v>
      </c>
      <c r="Z29" s="470" t="n">
        <f aca="false">IF(ISERROR(MATCH(A29,'liste reference'!$A$6:$A$1174,0)),IF(ISERROR(MATCH(A29,'liste reference'!$B$6:$B$1174,0)),"",(MATCH(A29,'liste reference'!$B$6:$B$1174,0))),(MATCH(A29,'liste reference'!$A$6:$A$1174,0)))</f>
        <v>102</v>
      </c>
    </row>
    <row r="30" customFormat="false" ht="12.75" hidden="false" customHeight="false" outlineLevel="0" collapsed="false">
      <c r="A30" s="489" t="s">
        <v>355</v>
      </c>
      <c r="B30" s="490" t="n">
        <v>0.005</v>
      </c>
      <c r="C30" s="491"/>
      <c r="D30" s="492" t="str">
        <f aca="false">IF(ISERROR(VLOOKUP($A30,'liste reference'!$A$6:$B$1174,2,0)),IF(ISERROR(VLOOKUP($A30,'liste reference'!$B$6:$B$1174,1,0)),"",VLOOKUP($A30,'liste reference'!$B$6:$B$1174,1,0)),VLOOKUP($A30,'liste reference'!$A$6:$B$1174,2,0))</f>
        <v>Tetraspora sp.</v>
      </c>
      <c r="E30" s="493" t="e">
        <f aca="false">IF(D30="",0,VLOOKUP(D30,D$22:D29,1,0))</f>
        <v>#N/A</v>
      </c>
      <c r="F30" s="494" t="n">
        <f aca="false">IF(AND(OR(A30="",A30="!!!!!!"),B30="",C30=""),"",IF(OR(AND(B30="",C30=""),ISERROR(C30+B30)),"!!!",($B30*$B$7+$C30*$C$7)/100))</f>
        <v>0.0029</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Tetraspora sp.</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1138</v>
      </c>
      <c r="R30" s="484" t="n">
        <f aca="false">IF(ISTEXT(H30),"",(B30*$B$7/100)+(C30*$C$7/100))</f>
        <v>0.0029</v>
      </c>
      <c r="S30" s="485" t="n">
        <f aca="false">IF(OR(ISTEXT(H30),R30=0),"",IF(R30&lt;0.1,1,IF(R30&lt;1,2,IF(R30&lt;10,3,IF(R30&lt;50,4,IF(R30&gt;=50,5,""))))))</f>
        <v>1</v>
      </c>
      <c r="T30" s="485" t="n">
        <f aca="false">IF(ISERROR(S30*J30),0,S30*J30)</f>
        <v>12</v>
      </c>
      <c r="U30" s="485" t="n">
        <f aca="false">IF(ISERROR(S30*J30*K30),0,S30*J30*K30)</f>
        <v>12</v>
      </c>
      <c r="V30" s="501" t="n">
        <f aca="false">IF(ISERROR(S30*K30),0,S30*K30)</f>
        <v>1</v>
      </c>
      <c r="W30" s="502"/>
      <c r="X30" s="503"/>
      <c r="Y30" s="488" t="str">
        <f aca="false">IF(AND(ISNUMBER(F30),OR(A30="",A30="!!!!!!")),"!!!!!!",IF(A30="new.cod","NEWCOD",IF(AND((Z30=""),ISTEXT(A30),A30&lt;&gt;"!!!!!!"),A30,IF(Z30="","",INDEX('liste reference'!$A$6:$A$1174,Z30)))))</f>
        <v>TETSPX</v>
      </c>
      <c r="Z30" s="470" t="n">
        <f aca="false">IF(ISERROR(MATCH(A30,'liste reference'!$A$6:$A$1174,0)),IF(ISERROR(MATCH(A30,'liste reference'!$B$6:$B$1174,0)),"",(MATCH(A30,'liste reference'!$B$6:$B$1174,0))),(MATCH(A30,'liste reference'!$A$6:$A$1174,0)))</f>
        <v>107</v>
      </c>
    </row>
    <row r="31" customFormat="false" ht="12.75" hidden="false" customHeight="false" outlineLevel="0" collapsed="false">
      <c r="A31" s="489" t="s">
        <v>704</v>
      </c>
      <c r="B31" s="490" t="n">
        <v>0.005</v>
      </c>
      <c r="C31" s="491"/>
      <c r="D31" s="492" t="str">
        <f aca="false">IF(ISERROR(VLOOKUP($A31,'liste reference'!$A$6:$B$1174,2,0)),IF(ISERROR(VLOOKUP($A31,'liste reference'!$B$6:$B$1174,1,0)),"",VLOOKUP($A31,'liste reference'!$B$6:$B$1174,1,0)),VLOOKUP($A31,'liste reference'!$A$6:$B$1174,2,0))</f>
        <v>Cinclidotus aquaticus</v>
      </c>
      <c r="E31" s="493" t="e">
        <f aca="false">IF(D31="",0,VLOOKUP(D31,D$22:D30,1,0))</f>
        <v>#N/A</v>
      </c>
      <c r="F31" s="494" t="n">
        <f aca="false">IF(AND(OR(A31="",A31="!!!!!!"),B31="",C31=""),"",IF(OR(AND(B31="",C31=""),ISERROR(C31+B31)),"!!!",($B31*$B$7+$C31*$C$7)/100))</f>
        <v>0.0029</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15</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Cinclidotus aquaticus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1318</v>
      </c>
      <c r="R31" s="484" t="n">
        <f aca="false">IF(ISTEXT(H31),"",(B31*$B$7/100)+(C31*$C$7/100))</f>
        <v>0.0029</v>
      </c>
      <c r="S31" s="485" t="n">
        <f aca="false">IF(OR(ISTEXT(H31),R31=0),"",IF(R31&lt;0.1,1,IF(R31&lt;1,2,IF(R31&lt;10,3,IF(R31&lt;50,4,IF(R31&gt;=50,5,""))))))</f>
        <v>1</v>
      </c>
      <c r="T31" s="485" t="n">
        <f aca="false">IF(ISERROR(S31*J31),0,S31*J31)</f>
        <v>15</v>
      </c>
      <c r="U31" s="485" t="n">
        <f aca="false">IF(ISERROR(S31*J31*K31),0,S31*J31*K31)</f>
        <v>30</v>
      </c>
      <c r="V31" s="501" t="n">
        <f aca="false">IF(ISERROR(S31*K31),0,S31*K31)</f>
        <v>2</v>
      </c>
      <c r="W31" s="502"/>
      <c r="X31" s="503"/>
      <c r="Y31" s="488" t="str">
        <f aca="false">IF(AND(ISNUMBER(F31),OR(A31="",A31="!!!!!!")),"!!!!!!",IF(A31="new.cod","NEWCOD",IF(AND((Z31=""),ISTEXT(A31),A31&lt;&gt;"!!!!!!"),A31,IF(Z31="","",INDEX('liste reference'!$A$6:$A$1174,Z31)))))</f>
        <v>CINAQU</v>
      </c>
      <c r="Z31" s="470" t="n">
        <f aca="false">IF(ISERROR(MATCH(A31,'liste reference'!$A$6:$A$1174,0)),IF(ISERROR(MATCH(A31,'liste reference'!$B$6:$B$1174,0)),"",(MATCH(A31,'liste reference'!$B$6:$B$1174,0))),(MATCH(A31,'liste reference'!$A$6:$A$1174,0)))</f>
        <v>221</v>
      </c>
    </row>
    <row r="32" customFormat="false" ht="12.75" hidden="false" customHeight="false" outlineLevel="0" collapsed="false">
      <c r="A32" s="489" t="s">
        <v>707</v>
      </c>
      <c r="B32" s="490" t="n">
        <v>0.008</v>
      </c>
      <c r="C32" s="491"/>
      <c r="D32" s="492" t="str">
        <f aca="false">IF(ISERROR(VLOOKUP($A32,'liste reference'!$A$6:$B$1174,2,0)),IF(ISERROR(VLOOKUP($A32,'liste reference'!$B$6:$B$1174,1,0)),"",VLOOKUP($A32,'liste reference'!$B$6:$B$1174,1,0)),VLOOKUP($A32,'liste reference'!$A$6:$B$1174,2,0))</f>
        <v>Cinclidotus danubicus</v>
      </c>
      <c r="E32" s="493" t="e">
        <f aca="false">IF(D32="",0,VLOOKUP(D32,D$22:D31,1,0))</f>
        <v>#N/A</v>
      </c>
      <c r="F32" s="494" t="n">
        <f aca="false">IF(AND(OR(A32="",A32="!!!!!!"),B32="",C32=""),"",IF(OR(AND(B32="",C32=""),ISERROR(C32+B32)),"!!!",($B32*$B$7+$C32*$C$7)/100))</f>
        <v>0.00464</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13</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Cinclidotus danubicus</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1319</v>
      </c>
      <c r="R32" s="484" t="n">
        <f aca="false">IF(ISTEXT(H32),"",(B32*$B$7/100)+(C32*$C$7/100))</f>
        <v>0.00464</v>
      </c>
      <c r="S32" s="485" t="n">
        <f aca="false">IF(OR(ISTEXT(H32),R32=0),"",IF(R32&lt;0.1,1,IF(R32&lt;1,2,IF(R32&lt;10,3,IF(R32&lt;50,4,IF(R32&gt;=50,5,""))))))</f>
        <v>1</v>
      </c>
      <c r="T32" s="485" t="n">
        <f aca="false">IF(ISERROR(S32*J32),0,S32*J32)</f>
        <v>13</v>
      </c>
      <c r="U32" s="485" t="n">
        <f aca="false">IF(ISERROR(S32*J32*K32),0,S32*J32*K32)</f>
        <v>39</v>
      </c>
      <c r="V32" s="501" t="n">
        <f aca="false">IF(ISERROR(S32*K32),0,S32*K32)</f>
        <v>3</v>
      </c>
      <c r="W32" s="502"/>
      <c r="X32" s="503"/>
      <c r="Y32" s="488" t="str">
        <f aca="false">IF(AND(ISNUMBER(F32),OR(A32="",A32="!!!!!!")),"!!!!!!",IF(A32="new.cod","NEWCOD",IF(AND((Z32=""),ISTEXT(A32),A32&lt;&gt;"!!!!!!"),A32,IF(Z32="","",INDEX('liste reference'!$A$6:$A$1174,Z32)))))</f>
        <v>CINDAN</v>
      </c>
      <c r="Z32" s="470" t="n">
        <f aca="false">IF(ISERROR(MATCH(A32,'liste reference'!$A$6:$A$1174,0)),IF(ISERROR(MATCH(A32,'liste reference'!$B$6:$B$1174,0)),"",(MATCH(A32,'liste reference'!$B$6:$B$1174,0))),(MATCH(A32,'liste reference'!$A$6:$A$1174,0)))</f>
        <v>222</v>
      </c>
    </row>
    <row r="33" customFormat="false" ht="12.75" hidden="false" customHeight="false" outlineLevel="0" collapsed="false">
      <c r="A33" s="489" t="s">
        <v>712</v>
      </c>
      <c r="B33" s="490" t="n">
        <v>0.1</v>
      </c>
      <c r="C33" s="491"/>
      <c r="D33" s="492" t="str">
        <f aca="false">IF(ISERROR(VLOOKUP($A33,'liste reference'!$A$6:$B$1174,2,0)),IF(ISERROR(VLOOKUP($A33,'liste reference'!$B$6:$B$1174,1,0)),"",VLOOKUP($A33,'liste reference'!$B$6:$B$1174,1,0)),VLOOKUP($A33,'liste reference'!$A$6:$B$1174,2,0))</f>
        <v>Cinclidotus riparius</v>
      </c>
      <c r="E33" s="493" t="e">
        <f aca="false">IF(D33="",0,VLOOKUP(D33,D$22:D32,1,0))</f>
        <v>#N/A</v>
      </c>
      <c r="F33" s="494" t="n">
        <f aca="false">IF(AND(OR(A33="",A33="!!!!!!"),B33="",C33=""),"",IF(OR(AND(B33="",C33=""),ISERROR(C33+B33)),"!!!",($B33*$B$7+$C33*$C$7)/100))</f>
        <v>0.058</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13</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Cinclidotus riparius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1321</v>
      </c>
      <c r="R33" s="484" t="n">
        <f aca="false">IF(ISTEXT(H33),"",(B33*$B$7/100)+(C33*$C$7/100))</f>
        <v>0.058</v>
      </c>
      <c r="S33" s="485" t="n">
        <f aca="false">IF(OR(ISTEXT(H33),R33=0),"",IF(R33&lt;0.1,1,IF(R33&lt;1,2,IF(R33&lt;10,3,IF(R33&lt;50,4,IF(R33&gt;=50,5,""))))))</f>
        <v>1</v>
      </c>
      <c r="T33" s="485" t="n">
        <f aca="false">IF(ISERROR(S33*J33),0,S33*J33)</f>
        <v>13</v>
      </c>
      <c r="U33" s="485" t="n">
        <f aca="false">IF(ISERROR(S33*J33*K33),0,S33*J33*K33)</f>
        <v>26</v>
      </c>
      <c r="V33" s="501" t="n">
        <f aca="false">IF(ISERROR(S33*K33),0,S33*K33)</f>
        <v>2</v>
      </c>
      <c r="W33" s="502"/>
      <c r="X33" s="503"/>
      <c r="Y33" s="488" t="str">
        <f aca="false">IF(AND(ISNUMBER(F33),OR(A33="",A33="!!!!!!")),"!!!!!!",IF(A33="new.cod","NEWCOD",IF(AND((Z33=""),ISTEXT(A33),A33&lt;&gt;"!!!!!!"),A33,IF(Z33="","",INDEX('liste reference'!$A$6:$A$1174,Z33)))))</f>
        <v>CINRIP</v>
      </c>
      <c r="Z33" s="470" t="n">
        <f aca="false">IF(ISERROR(MATCH(A33,'liste reference'!$A$6:$A$1174,0)),IF(ISERROR(MATCH(A33,'liste reference'!$B$6:$B$1174,0)),"",(MATCH(A33,'liste reference'!$B$6:$B$1174,0))),(MATCH(A33,'liste reference'!$A$6:$A$1174,0)))</f>
        <v>224</v>
      </c>
    </row>
    <row r="34" customFormat="false" ht="12.75" hidden="false" customHeight="false" outlineLevel="0" collapsed="false">
      <c r="A34" s="489" t="s">
        <v>1122</v>
      </c>
      <c r="B34" s="490" t="n">
        <v>0.01</v>
      </c>
      <c r="C34" s="491"/>
      <c r="D34" s="492" t="str">
        <f aca="false">IF(ISERROR(VLOOKUP($A34,'liste reference'!$A$6:$B$1174,2,0)),IF(ISERROR(VLOOKUP($A34,'liste reference'!$B$6:$B$1174,1,0)),"",VLOOKUP($A34,'liste reference'!$B$6:$B$1174,1,0)),VLOOKUP($A34,'liste reference'!$A$6:$B$1174,2,0))</f>
        <v>Rhynchostegium riparioides</v>
      </c>
      <c r="E34" s="493" t="e">
        <f aca="false">IF(D34="",0,VLOOKUP(D34,D$22:D33,1,0))</f>
        <v>#N/A</v>
      </c>
      <c r="F34" s="494" t="n">
        <f aca="false">IF(AND(OR(A34="",A34="!!!!!!"),B34="",C34=""),"",IF(OR(AND(B34="",C34=""),ISERROR(C34+B34)),"!!!",($B34*$B$7+$C34*$C$7)/100))</f>
        <v>0.0058</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Rhynchostegium riparioides</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31691</v>
      </c>
      <c r="R34" s="484" t="n">
        <f aca="false">IF(ISTEXT(H34),"",(B34*$B$7/100)+(C34*$C$7/100))</f>
        <v>0.0058</v>
      </c>
      <c r="S34" s="485" t="n">
        <f aca="false">IF(OR(ISTEXT(H34),R34=0),"",IF(R34&lt;0.1,1,IF(R34&lt;1,2,IF(R34&lt;10,3,IF(R34&lt;50,4,IF(R34&gt;=50,5,""))))))</f>
        <v>1</v>
      </c>
      <c r="T34" s="485" t="n">
        <f aca="false">IF(ISERROR(S34*J34),0,S34*J34)</f>
        <v>12</v>
      </c>
      <c r="U34" s="485" t="n">
        <f aca="false">IF(ISERROR(S34*J34*K34),0,S34*J34*K34)</f>
        <v>12</v>
      </c>
      <c r="V34" s="501" t="n">
        <f aca="false">IF(ISERROR(S34*K34),0,S34*K34)</f>
        <v>1</v>
      </c>
      <c r="W34" s="502"/>
      <c r="X34" s="503"/>
      <c r="Y34" s="488" t="str">
        <f aca="false">IF(AND(ISNUMBER(F34),OR(A34="",A34="!!!!!!")),"!!!!!!",IF(A34="new.cod","NEWCOD",IF(AND((Z34=""),ISTEXT(A34),A34&lt;&gt;"!!!!!!"),A34,IF(Z34="","",INDEX('liste reference'!$A$6:$A$1174,Z34)))))</f>
        <v>RHYRIP</v>
      </c>
      <c r="Z34" s="470" t="n">
        <f aca="false">IF(ISERROR(MATCH(A34,'liste reference'!$A$6:$A$1174,0)),IF(ISERROR(MATCH(A34,'liste reference'!$B$6:$B$1174,0)),"",(MATCH(A34,'liste reference'!$B$6:$B$1174,0))),(MATCH(A34,'liste reference'!$A$6:$A$1174,0)))</f>
        <v>345</v>
      </c>
    </row>
    <row r="35" customFormat="false" ht="12.75" hidden="false" customHeight="false" outlineLevel="0" collapsed="false">
      <c r="A35" s="489" t="s">
        <v>1255</v>
      </c>
      <c r="B35" s="490" t="n">
        <v>0.005</v>
      </c>
      <c r="C35" s="491"/>
      <c r="D35" s="492" t="str">
        <f aca="false">IF(ISERROR(VLOOKUP($A35,'liste reference'!$A$6:$B$1174,2,0)),IF(ISERROR(VLOOKUP($A35,'liste reference'!$B$6:$B$1174,1,0)),"",VLOOKUP($A35,'liste reference'!$B$6:$B$1174,1,0)),VLOOKUP($A35,'liste reference'!$A$6:$B$1174,2,0))</f>
        <v>Equisetum arvense</v>
      </c>
      <c r="E35" s="493" t="e">
        <f aca="false">IF(D35="",0,VLOOKUP(D35,D$22:D34,1,0))</f>
        <v>#N/A</v>
      </c>
      <c r="F35" s="494" t="n">
        <f aca="false">IF(AND(OR(A35="",A35="!!!!!!"),B35="",C35=""),"",IF(OR(AND(B35="",C35=""),ISERROR(C35+B35)),"!!!",($B35*$B$7+$C35*$C$7)/100))</f>
        <v>0.0029</v>
      </c>
      <c r="G35" s="495" t="str">
        <f aca="false">IF(A35="","",IF(ISERROR(VLOOKUP($A35,'liste reference'!$A$6:$Q$1174,9,0)),IF(ISERROR(VLOOKUP($A35,'liste reference'!$B$6:$Q$1174,8,0)),"    -",VLOOKUP($A35,'liste reference'!$B$6:$Q$1174,8,0)),VLOOKUP($A35,'liste reference'!$A$6:$Q$1174,9,0)))</f>
        <v>PTE</v>
      </c>
      <c r="H35" s="496" t="n">
        <f aca="false">IF(A35="","x",IF(ISERROR(VLOOKUP($A35,'liste reference'!$A$6:$Q$1174,10,0)),IF(ISERROR(VLOOKUP($A35,'liste reference'!$B$6:$Q$1174,9,0)),"x",VLOOKUP($A35,'liste reference'!$B$6:$Q$1174,9,0)),VLOOKUP($A35,'liste reference'!$A$6:$Q$1174,10,0)))</f>
        <v>6</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Equisetum arvense</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1384</v>
      </c>
      <c r="R35" s="484" t="n">
        <f aca="false">IF(ISTEXT(H35),"",(B35*$B$7/100)+(C35*$C$7/100))</f>
        <v>0.0029</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EQUARV</v>
      </c>
      <c r="Z35" s="470" t="n">
        <f aca="false">IF(ISERROR(MATCH(A35,'liste reference'!$A$6:$A$1174,0)),IF(ISERROR(MATCH(A35,'liste reference'!$B$6:$B$1174,0)),"",(MATCH(A35,'liste reference'!$B$6:$B$1174,0))),(MATCH(A35,'liste reference'!$A$6:$A$1174,0)))</f>
        <v>385</v>
      </c>
    </row>
    <row r="36" customFormat="false" ht="12.75" hidden="false" customHeight="false" outlineLevel="0" collapsed="false">
      <c r="A36" s="489" t="s">
        <v>1270</v>
      </c>
      <c r="B36" s="490"/>
      <c r="C36" s="491" t="n">
        <v>0.01</v>
      </c>
      <c r="D36" s="492" t="str">
        <f aca="false">IF(ISERROR(VLOOKUP($A36,'liste reference'!$A$6:$B$1174,2,0)),IF(ISERROR(VLOOKUP($A36,'liste reference'!$B$6:$B$1174,1,0)),"",VLOOKUP($A36,'liste reference'!$B$6:$B$1174,1,0)),VLOOKUP($A36,'liste reference'!$A$6:$B$1174,2,0))</f>
        <v>Equisetum ramosissimum</v>
      </c>
      <c r="E36" s="493" t="e">
        <f aca="false">IF(D36="",0,VLOOKUP(D36,D$22:D35,1,0))</f>
        <v>#N/A</v>
      </c>
      <c r="F36" s="494" t="n">
        <f aca="false">IF(AND(OR(A36="",A36="!!!!!!"),B36="",C36=""),"",IF(OR(AND(B36="",C36=""),ISERROR(C36+B36)),"!!!",($B36*$B$7+$C36*$C$7)/100))</f>
        <v>0.0042</v>
      </c>
      <c r="G36" s="495" t="str">
        <f aca="false">IF(A36="","",IF(ISERROR(VLOOKUP($A36,'liste reference'!$A$6:$Q$1174,9,0)),IF(ISERROR(VLOOKUP($A36,'liste reference'!$B$6:$Q$1174,8,0)),"    -",VLOOKUP($A36,'liste reference'!$B$6:$Q$1174,8,0)),VLOOKUP($A36,'liste reference'!$A$6:$Q$1174,9,0)))</f>
        <v>PTE</v>
      </c>
      <c r="H36" s="496" t="n">
        <f aca="false">IF(A36="","x",IF(ISERROR(VLOOKUP($A36,'liste reference'!$A$6:$Q$1174,10,0)),IF(ISERROR(VLOOKUP($A36,'liste reference'!$B$6:$Q$1174,9,0)),"x",VLOOKUP($A36,'liste reference'!$B$6:$Q$1174,9,0)),VLOOKUP($A36,'liste reference'!$A$6:$Q$1174,10,0)))</f>
        <v>6</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Equisetum ramosissimum</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29992</v>
      </c>
      <c r="R36" s="484" t="n">
        <f aca="false">IF(ISTEXT(H36),"",(B36*$B$7/100)+(C36*$C$7/100))</f>
        <v>0.0042</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EQURAM</v>
      </c>
      <c r="Z36" s="470" t="n">
        <f aca="false">IF(ISERROR(MATCH(A36,'liste reference'!$A$6:$A$1174,0)),IF(ISERROR(MATCH(A36,'liste reference'!$B$6:$B$1174,0)),"",(MATCH(A36,'liste reference'!$B$6:$B$1174,0))),(MATCH(A36,'liste reference'!$A$6:$A$1174,0)))</f>
        <v>390</v>
      </c>
    </row>
    <row r="37" customFormat="false" ht="12.75" hidden="false" customHeight="false" outlineLevel="0" collapsed="false">
      <c r="A37" s="489" t="s">
        <v>1522</v>
      </c>
      <c r="B37" s="490" t="n">
        <v>0.005</v>
      </c>
      <c r="C37" s="491"/>
      <c r="D37" s="492" t="str">
        <f aca="false">IF(ISERROR(VLOOKUP($A37,'liste reference'!$A$6:$B$1174,2,0)),IF(ISERROR(VLOOKUP($A37,'liste reference'!$B$6:$B$1174,1,0)),"",VLOOKUP($A37,'liste reference'!$B$6:$B$1174,1,0)),VLOOKUP($A37,'liste reference'!$A$6:$B$1174,2,0))</f>
        <v>Lemna minor</v>
      </c>
      <c r="E37" s="493" t="e">
        <f aca="false">IF(D37="",0,VLOOKUP(D37,D$22:D36,1,0))</f>
        <v>#N/A</v>
      </c>
      <c r="F37" s="494" t="n">
        <f aca="false">IF(AND(OR(A37="",A37="!!!!!!"),B37="",C37=""),"",IF(OR(AND(B37="",C37=""),ISERROR(C37+B37)),"!!!",($B37*$B$7+$C37*$C$7)/100))</f>
        <v>0.0029</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Lemna minor</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1626</v>
      </c>
      <c r="R37" s="484" t="n">
        <f aca="false">IF(ISTEXT(H37),"",(B37*$B$7/100)+(C37*$C$7/100))</f>
        <v>0.0029</v>
      </c>
      <c r="S37" s="485" t="n">
        <f aca="false">IF(OR(ISTEXT(H37),R37=0),"",IF(R37&lt;0.1,1,IF(R37&lt;1,2,IF(R37&lt;10,3,IF(R37&lt;50,4,IF(R37&gt;=50,5,""))))))</f>
        <v>1</v>
      </c>
      <c r="T37" s="485" t="n">
        <f aca="false">IF(ISERROR(S37*J37),0,S37*J37)</f>
        <v>10</v>
      </c>
      <c r="U37" s="485" t="n">
        <f aca="false">IF(ISERROR(S37*J37*K37),0,S37*J37*K37)</f>
        <v>10</v>
      </c>
      <c r="V37" s="501" t="n">
        <f aca="false">IF(ISERROR(S37*K37),0,S37*K37)</f>
        <v>1</v>
      </c>
      <c r="W37" s="502"/>
      <c r="X37" s="503"/>
      <c r="Y37" s="488" t="str">
        <f aca="false">IF(AND(ISNUMBER(F37),OR(A37="",A37="!!!!!!")),"!!!!!!",IF(A37="new.cod","NEWCOD",IF(AND((Z37=""),ISTEXT(A37),A37&lt;&gt;"!!!!!!"),A37,IF(Z37="","",INDEX('liste reference'!$A$6:$A$1174,Z37)))))</f>
        <v>LEMMIN</v>
      </c>
      <c r="Z37" s="470" t="n">
        <f aca="false">IF(ISERROR(MATCH(A37,'liste reference'!$A$6:$A$1174,0)),IF(ISERROR(MATCH(A37,'liste reference'!$B$6:$B$1174,0)),"",(MATCH(A37,'liste reference'!$B$6:$B$1174,0))),(MATCH(A37,'liste reference'!$A$6:$A$1174,0)))</f>
        <v>473</v>
      </c>
    </row>
    <row r="38" customFormat="false" ht="12.75" hidden="false" customHeight="false" outlineLevel="0" collapsed="false">
      <c r="A38" s="489" t="s">
        <v>1932</v>
      </c>
      <c r="B38" s="490" t="n">
        <v>0.005</v>
      </c>
      <c r="C38" s="491" t="n">
        <v>0.005</v>
      </c>
      <c r="D38" s="492" t="str">
        <f aca="false">IF(ISERROR(VLOOKUP($A38,'liste reference'!$A$6:$B$1174,2,0)),IF(ISERROR(VLOOKUP($A38,'liste reference'!$B$6:$B$1174,1,0)),"",VLOOKUP($A38,'liste reference'!$B$6:$B$1174,1,0)),VLOOKUP($A38,'liste reference'!$A$6:$B$1174,2,0))</f>
        <v>Agrostis stolonifera</v>
      </c>
      <c r="E38" s="493" t="e">
        <f aca="false">IF(D38="",0,VLOOKUP(D38,D$22:D37,1,0))</f>
        <v>#N/A</v>
      </c>
      <c r="F38" s="494" t="n">
        <f aca="false">IF(AND(OR(A38="",A38="!!!!!!"),B38="",C38=""),"",IF(OR(AND(B38="",C38=""),ISERROR(C38+B38)),"!!!",($B38*$B$7+$C38*$C$7)/100))</f>
        <v>0.005</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Agrostis stolonifera</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1543</v>
      </c>
      <c r="R38" s="484" t="n">
        <f aca="false">IF(ISTEXT(H38),"",(B38*$B$7/100)+(C38*$C$7/100))</f>
        <v>0.005</v>
      </c>
      <c r="S38" s="485" t="n">
        <f aca="false">IF(OR(ISTEXT(H38),R38=0),"",IF(R38&lt;0.1,1,IF(R38&lt;1,2,IF(R38&lt;10,3,IF(R38&lt;50,4,IF(R38&gt;=50,5,""))))))</f>
        <v>1</v>
      </c>
      <c r="T38" s="485" t="n">
        <f aca="false">IF(ISERROR(S38*J38),0,S38*J38)</f>
        <v>10</v>
      </c>
      <c r="U38" s="485" t="n">
        <f aca="false">IF(ISERROR(S38*J38*K38),0,S38*J38*K38)</f>
        <v>10</v>
      </c>
      <c r="V38" s="501" t="n">
        <f aca="false">IF(ISERROR(S38*K38),0,S38*K38)</f>
        <v>1</v>
      </c>
      <c r="W38" s="502"/>
      <c r="X38" s="503"/>
      <c r="Y38" s="488" t="str">
        <f aca="false">IF(AND(ISNUMBER(F38),OR(A38="",A38="!!!!!!")),"!!!!!!",IF(A38="new.cod","NEWCOD",IF(AND((Z38=""),ISTEXT(A38),A38&lt;&gt;"!!!!!!"),A38,IF(Z38="","",INDEX('liste reference'!$A$6:$A$1174,Z38)))))</f>
        <v>AGRSTO</v>
      </c>
      <c r="Z38" s="470" t="n">
        <f aca="false">IF(ISERROR(MATCH(A38,'liste reference'!$A$6:$A$1174,0)),IF(ISERROR(MATCH(A38,'liste reference'!$B$6:$B$1174,0)),"",(MATCH(A38,'liste reference'!$B$6:$B$1174,0))),(MATCH(A38,'liste reference'!$A$6:$A$1174,0)))</f>
        <v>623</v>
      </c>
    </row>
    <row r="39" customFormat="false" ht="12.75" hidden="false" customHeight="false" outlineLevel="0" collapsed="false">
      <c r="A39" s="489" t="s">
        <v>2615</v>
      </c>
      <c r="B39" s="490"/>
      <c r="C39" s="491" t="n">
        <v>0.01</v>
      </c>
      <c r="D39" s="492" t="str">
        <f aca="false">IF(ISERROR(VLOOKUP($A39,'liste reference'!$A$6:$B$1174,2,0)),IF(ISERROR(VLOOKUP($A39,'liste reference'!$B$6:$B$1174,1,0)),"",VLOOKUP($A39,'liste reference'!$B$6:$B$1174,1,0)),VLOOKUP($A39,'liste reference'!$A$6:$B$1174,2,0))</f>
        <v>Juncus compressus</v>
      </c>
      <c r="E39" s="493" t="e">
        <f aca="false">IF(D39="",0,VLOOKUP(D39,D$22:D38,1,0))</f>
        <v>#N/A</v>
      </c>
      <c r="F39" s="494" t="n">
        <f aca="false">IF(AND(OR(A39="",A39="!!!!!!"),B39="",C39=""),"",IF(OR(AND(B39="",C39=""),ISERROR(C39+B39)),"!!!",($B39*$B$7+$C39*$C$7)/100))</f>
        <v>0.0042</v>
      </c>
      <c r="G39" s="495" t="str">
        <f aca="false">IF(A39="","",IF(ISERROR(VLOOKUP($A39,'liste reference'!$A$6:$Q$1174,9,0)),IF(ISERROR(VLOOKUP($A39,'liste reference'!$B$6:$Q$1174,8,0)),"    -",VLOOKUP($A39,'liste reference'!$B$6:$Q$1174,8,0)),VLOOKUP($A39,'liste reference'!$A$6:$Q$1174,9,0)))</f>
        <v>PHg</v>
      </c>
      <c r="H39" s="496" t="n">
        <f aca="false">IF(A39="","x",IF(ISERROR(VLOOKUP($A39,'liste reference'!$A$6:$Q$1174,10,0)),IF(ISERROR(VLOOKUP($A39,'liste reference'!$B$6:$Q$1174,9,0)),"x",VLOOKUP($A39,'liste reference'!$B$6:$Q$1174,9,0)),VLOOKUP($A39,'liste reference'!$A$6:$Q$1174,10,0)))</f>
        <v>9</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Juncus compressus</v>
      </c>
      <c r="M39" s="498"/>
      <c r="N39" s="498"/>
      <c r="O39" s="498"/>
      <c r="P39" s="499" t="s">
        <v>3450</v>
      </c>
      <c r="Q39" s="500" t="n">
        <f aca="false">IF(OR($A39="NEWCOD",$A39="!!!!!!"),IF(X39="","NoCod",X39),IF($A39="","",IF(ISERROR(VLOOKUP($A39,'liste reference'!$A$6:$H$1174,8,0)),IF(ISERROR(VLOOKUP($A39,'liste reference'!$B$6:$H$1174,7,0)),"",VLOOKUP($A39,'liste reference'!$B$6:$H$1174,7,0)),VLOOKUP($A39,'liste reference'!$A$6:$H$1174,8,0))))</f>
        <v>19818</v>
      </c>
      <c r="R39" s="484" t="n">
        <f aca="false">IF(ISTEXT(H39),"",(B39*$B$7/100)+(C39*$C$7/100))</f>
        <v>0.0042</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JUNCOM</v>
      </c>
      <c r="Z39" s="470" t="n">
        <f aca="false">IF(ISERROR(MATCH(A39,'liste reference'!$A$6:$A$1174,0)),IF(ISERROR(MATCH(A39,'liste reference'!$B$6:$B$1174,0)),"",(MATCH(A39,'liste reference'!$B$6:$B$1174,0))),(MATCH(A39,'liste reference'!$A$6:$A$1174,0)))</f>
        <v>875</v>
      </c>
    </row>
    <row r="40" customFormat="false" ht="12.75" hidden="false" customHeight="false" outlineLevel="0" collapsed="false">
      <c r="A40" s="489" t="s">
        <v>2688</v>
      </c>
      <c r="B40" s="490" t="n">
        <v>0.005</v>
      </c>
      <c r="C40" s="491"/>
      <c r="D40" s="492" t="str">
        <f aca="false">IF(ISERROR(VLOOKUP($A40,'liste reference'!$A$6:$B$1174,2,0)),IF(ISERROR(VLOOKUP($A40,'liste reference'!$B$6:$B$1174,1,0)),"",VLOOKUP($A40,'liste reference'!$B$6:$B$1174,1,0)),VLOOKUP($A40,'liste reference'!$A$6:$B$1174,2,0))</f>
        <v>Lysimachia vulgaris</v>
      </c>
      <c r="E40" s="493" t="e">
        <f aca="false">IF(D40="",0,VLOOKUP(D40,D$22:D39,1,0))</f>
        <v>#N/A</v>
      </c>
      <c r="F40" s="494" t="n">
        <f aca="false">IF(AND(OR(A40="",A40="!!!!!!"),B40="",C40=""),"",IF(OR(AND(B40="",C40=""),ISERROR(C40+B40)),"!!!",($B40*$B$7+$C40*$C$7)/100))</f>
        <v>0.0029</v>
      </c>
      <c r="G40" s="495" t="str">
        <f aca="false">IF(A40="","",IF(ISERROR(VLOOKUP($A40,'liste reference'!$A$6:$Q$1174,9,0)),IF(ISERROR(VLOOKUP($A40,'liste reference'!$B$6:$Q$1174,8,0)),"    -",VLOOKUP($A40,'liste reference'!$B$6:$Q$1174,8,0)),VLOOKUP($A40,'liste reference'!$A$6:$Q$1174,9,0)))</f>
        <v>PHg</v>
      </c>
      <c r="H40" s="496" t="n">
        <f aca="false">IF(A40="","x",IF(ISERROR(VLOOKUP($A40,'liste reference'!$A$6:$Q$1174,10,0)),IF(ISERROR(VLOOKUP($A40,'liste reference'!$B$6:$Q$1174,9,0)),"x",VLOOKUP($A40,'liste reference'!$B$6:$Q$1174,9,0)),VLOOKUP($A40,'liste reference'!$A$6:$Q$1174,10,0)))</f>
        <v>9</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Lysimachia vulgaris</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1887</v>
      </c>
      <c r="R40" s="484" t="n">
        <f aca="false">IF(ISTEXT(H40),"",(B40*$B$7/100)+(C40*$C$7/100))</f>
        <v>0.0029</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LYSVUL</v>
      </c>
      <c r="Z40" s="470" t="n">
        <f aca="false">IF(ISERROR(MATCH(A40,'liste reference'!$A$6:$A$1174,0)),IF(ISERROR(MATCH(A40,'liste reference'!$B$6:$B$1174,0)),"",(MATCH(A40,'liste reference'!$B$6:$B$1174,0))),(MATCH(A40,'liste reference'!$A$6:$A$1174,0)))</f>
        <v>899</v>
      </c>
    </row>
    <row r="41" customFormat="false" ht="12.75" hidden="false" customHeight="false" outlineLevel="0" collapsed="false">
      <c r="A41" s="489" t="s">
        <v>2835</v>
      </c>
      <c r="B41" s="490" t="n">
        <v>0.005</v>
      </c>
      <c r="C41" s="491"/>
      <c r="D41" s="492" t="str">
        <f aca="false">IF(ISERROR(VLOOKUP($A41,'liste reference'!$A$6:$B$1174,2,0)),IF(ISERROR(VLOOKUP($A41,'liste reference'!$B$6:$B$1174,1,0)),"",VLOOKUP($A41,'liste reference'!$B$6:$B$1174,1,0)),VLOOKUP($A41,'liste reference'!$A$6:$B$1174,2,0))</f>
        <v>Rorippa sylvestris</v>
      </c>
      <c r="E41" s="493" t="e">
        <f aca="false">IF(D41="",0,VLOOKUP(D41,D$22:D40,1,0))</f>
        <v>#N/A</v>
      </c>
      <c r="F41" s="494" t="n">
        <f aca="false">IF(AND(OR(A41="",A41="!!!!!!"),B41="",C41=""),"",IF(OR(AND(B41="",C41=""),ISERROR(C41+B41)),"!!!",($B41*$B$7+$C41*$C$7)/100))</f>
        <v>0.0029</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Rorippa sylvestris</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1767</v>
      </c>
      <c r="R41" s="484" t="n">
        <f aca="false">IF(ISTEXT(H41),"",(B41*$B$7/100)+(C41*$C$7/100))</f>
        <v>0.0029</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RORSYL</v>
      </c>
      <c r="Z41" s="470" t="n">
        <f aca="false">IF(ISERROR(MATCH(A41,'liste reference'!$A$6:$A$1174,0)),IF(ISERROR(MATCH(A41,'liste reference'!$B$6:$B$1174,0)),"",(MATCH(A41,'liste reference'!$B$6:$B$1174,0))),(MATCH(A41,'liste reference'!$A$6:$A$1174,0)))</f>
        <v>948</v>
      </c>
    </row>
    <row r="42" customFormat="false" ht="12.75" hidden="false" customHeight="false" outlineLevel="0" collapsed="false">
      <c r="A42" s="489" t="s">
        <v>3451</v>
      </c>
      <c r="B42" s="490"/>
      <c r="C42" s="491" t="n">
        <v>0.005</v>
      </c>
      <c r="D42" s="492" t="str">
        <f aca="false">IF(ISERROR(VLOOKUP($A42,'liste reference'!$A$6:$B$1174,2,0)),IF(ISERROR(VLOOKUP($A42,'liste reference'!$B$6:$B$1174,1,0)),"",VLOOKUP($A42,'liste reference'!$B$6:$B$1174,1,0)),VLOOKUP($A42,'liste reference'!$A$6:$B$1174,2,0))</f>
        <v/>
      </c>
      <c r="E42" s="493" t="n">
        <f aca="false">IF(D42="",0,VLOOKUP(D42,D$22:D41,1,0))</f>
        <v>0</v>
      </c>
      <c r="F42" s="494" t="n">
        <f aca="false">IF(AND(OR(A42="",A42="!!!!!!"),B42="",C42=""),"",IF(OR(AND(B42="",C42=""),ISERROR(C42+B42)),"!!!",($B42*$B$7+$C42*$C$7)/100))</f>
        <v>0.0021</v>
      </c>
      <c r="G42" s="495" t="str">
        <f aca="false">IF(A42="","",IF(ISERROR(VLOOKUP($A42,'liste reference'!$A$6:$Q$1174,9,0)),IF(ISERROR(VLOOKUP($A42,'liste reference'!$B$6:$Q$1174,8,0)),"    -",VLOOKUP($A42,'liste reference'!$B$6:$Q$1174,8,0)),VLOOKUP($A42,'liste reference'!$A$6:$Q$1174,9,0)))</f>
        <v>    -</v>
      </c>
      <c r="H42" s="496" t="str">
        <f aca="false">IF(A42="","x",IF(ISERROR(VLOOKUP($A42,'liste reference'!$A$6:$Q$1174,10,0)),IF(ISERROR(VLOOKUP($A42,'liste reference'!$B$6:$Q$1174,9,0)),"x",VLOOKUP($A42,'liste reference'!$B$6:$Q$1174,9,0)),VLOOKUP($A42,'liste reference'!$A$6:$Q$1174,10,0)))</f>
        <v>x</v>
      </c>
      <c r="I42" s="281" t="n">
        <f aca="false">IF(A42="","",1)</f>
        <v>1</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Cyperaceae</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1465</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t="s">
        <v>3452</v>
      </c>
      <c r="X42" s="503" t="n">
        <v>1465</v>
      </c>
      <c r="Y42" s="488" t="str">
        <f aca="false">IF(AND(ISNUMBER(F42),OR(A42="",A42="!!!!!!")),"!!!!!!",IF(A42="new.cod","NEWCOD",IF(AND((Z42=""),ISTEXT(A42),A42&lt;&gt;"!!!!!!"),A42,IF(Z42="","",INDEX('liste reference'!$A$6:$A$1174,Z42)))))</f>
        <v>NEWCOD</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24.00944</v>
      </c>
      <c r="G83" s="424"/>
      <c r="H83" s="424"/>
      <c r="I83" s="424"/>
      <c r="J83" s="424"/>
      <c r="K83" s="424"/>
      <c r="L83" s="424"/>
      <c r="M83" s="485"/>
      <c r="N83" s="485"/>
      <c r="O83" s="485"/>
      <c r="P83" s="485"/>
      <c r="Q83" s="485"/>
      <c r="R83" s="485"/>
      <c r="S83" s="485"/>
      <c r="T83" s="485"/>
      <c r="U83" s="485"/>
      <c r="V83" s="485" t="n">
        <f aca="false">SUM(V23:V82)</f>
        <v>26</v>
      </c>
      <c r="W83" s="485"/>
      <c r="X83" s="523"/>
      <c r="Y83" s="523"/>
      <c r="Z83" s="524"/>
    </row>
    <row r="84" customFormat="false" ht="12.75" hidden="true" customHeight="false" outlineLevel="0" collapsed="false">
      <c r="A84" s="518" t="str">
        <f aca="false">A3</f>
        <v>ARRE</v>
      </c>
      <c r="B84" s="453" t="str">
        <f aca="false">C3</f>
        <v>ARRE A SAINT-ANDRE-DE-MAJENCOULES</v>
      </c>
      <c r="C84" s="525" t="str">
        <f aca="false">A4</f>
        <v>(Date)</v>
      </c>
      <c r="D84" s="526" t="n">
        <f aca="false">IF(OR(ISERROR(SUM($U$23:$U$82)/SUM($V$23:$V$82)),F7&lt;&gt;100),-1,SUM($U$23:$U$82)/SUM($V$23:$V$82))</f>
        <v>11.1153846153846</v>
      </c>
      <c r="E84" s="527" t="n">
        <f aca="false">O13</f>
        <v>20</v>
      </c>
      <c r="F84" s="453" t="n">
        <f aca="false">O14</f>
        <v>13</v>
      </c>
      <c r="G84" s="453" t="n">
        <f aca="false">O15</f>
        <v>6</v>
      </c>
      <c r="H84" s="453" t="n">
        <f aca="false">O16</f>
        <v>6</v>
      </c>
      <c r="I84" s="453" t="n">
        <f aca="false">O17</f>
        <v>1</v>
      </c>
      <c r="J84" s="528" t="n">
        <f aca="false">O8</f>
        <v>11.3076923076923</v>
      </c>
      <c r="K84" s="529" t="n">
        <f aca="false">O9</f>
        <v>2.75638044110291</v>
      </c>
      <c r="L84" s="530" t="n">
        <f aca="false">O10</f>
        <v>6</v>
      </c>
      <c r="M84" s="530" t="n">
        <f aca="false">O11</f>
        <v>15</v>
      </c>
      <c r="N84" s="529" t="n">
        <f aca="false">P8</f>
        <v>1.61538461538462</v>
      </c>
      <c r="O84" s="529" t="n">
        <f aca="false">P9</f>
        <v>0.624926031125843</v>
      </c>
      <c r="P84" s="530" t="n">
        <f aca="false">P10</f>
        <v>1</v>
      </c>
      <c r="Q84" s="530" t="n">
        <f aca="false">P11</f>
        <v>3</v>
      </c>
      <c r="R84" s="530" t="n">
        <f aca="false">F21</f>
        <v>24.00944</v>
      </c>
      <c r="S84" s="530" t="n">
        <f aca="false">L11</f>
        <v>0</v>
      </c>
      <c r="T84" s="530" t="n">
        <f aca="false">L12</f>
        <v>8</v>
      </c>
      <c r="U84" s="530" t="n">
        <f aca="false">L13</f>
        <v>4</v>
      </c>
      <c r="V84" s="531" t="n">
        <f aca="false">L15</f>
        <v>5</v>
      </c>
      <c r="W84" s="532" t="n">
        <f aca="false">L15</f>
        <v>5</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3453</v>
      </c>
      <c r="S86" s="281"/>
      <c r="T86" s="536"/>
      <c r="U86" s="281"/>
      <c r="V86" s="281"/>
    </row>
    <row r="87" customFormat="false" ht="12.75" hidden="true" customHeight="false" outlineLevel="0" collapsed="false">
      <c r="C87" s="534"/>
      <c r="D87" s="534"/>
      <c r="E87" s="534"/>
      <c r="R87" s="281" t="s">
        <v>3454</v>
      </c>
      <c r="S87" s="281"/>
      <c r="T87" s="536" t="n">
        <f aca="false">VLOOKUP($T$91,($A$23:$U$82),20,0)</f>
        <v>24</v>
      </c>
      <c r="U87" s="281"/>
      <c r="V87" s="281"/>
    </row>
    <row r="88" customFormat="false" ht="12.75" hidden="true" customHeight="false" outlineLevel="0" collapsed="false">
      <c r="C88" s="534"/>
      <c r="D88" s="534"/>
      <c r="E88" s="534"/>
      <c r="R88" s="281" t="s">
        <v>3455</v>
      </c>
      <c r="S88" s="281"/>
      <c r="T88" s="536" t="n">
        <f aca="false">VLOOKUP($T$91,($A$23:$U$82),21,0)</f>
        <v>24</v>
      </c>
      <c r="U88" s="281"/>
      <c r="V88" s="281" t="n">
        <f aca="false">COUNTIF(V23:V82,T89)</f>
        <v>2</v>
      </c>
    </row>
    <row r="89" customFormat="false" ht="12.75" hidden="true" customHeight="false" outlineLevel="0" collapsed="false">
      <c r="C89" s="534"/>
      <c r="D89" s="534"/>
      <c r="E89" s="534"/>
      <c r="R89" s="281" t="s">
        <v>3456</v>
      </c>
      <c r="S89" s="281"/>
      <c r="T89" s="536" t="n">
        <f aca="false">MAX($V$23:$V$82)</f>
        <v>4</v>
      </c>
      <c r="U89" s="281"/>
      <c r="V89" s="0"/>
    </row>
    <row r="90" customFormat="false" ht="12.75" hidden="true" customHeight="false" outlineLevel="0" collapsed="false">
      <c r="C90" s="534"/>
      <c r="D90" s="534"/>
      <c r="E90" s="534"/>
      <c r="R90" s="281" t="s">
        <v>3457</v>
      </c>
      <c r="S90" s="281" t="s">
        <v>3383</v>
      </c>
      <c r="T90" s="537" t="n">
        <f aca="false">IF(OR(ISERROR(SUM($U$23:$U$82)/SUM($V$23:$V$82)),F7&lt;&gt;100),-1,(SUM($U$23:$U$82)-T88)/(SUM($V$23:$V$82)-T89))</f>
        <v>12.0454545454545</v>
      </c>
      <c r="U90" s="281" t="n">
        <f aca="false">IF(ISERROR(T90),0,1)</f>
        <v>1</v>
      </c>
      <c r="V90" s="0"/>
    </row>
    <row r="91" customFormat="false" ht="12.75" hidden="true" customHeight="false" outlineLevel="0" collapsed="false">
      <c r="C91" s="534"/>
      <c r="D91" s="534"/>
      <c r="E91" s="534"/>
      <c r="R91" s="485" t="s">
        <v>3458</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3459</v>
      </c>
      <c r="S92" s="281"/>
      <c r="T92" s="281" t="n">
        <f aca="false">MATCH(T89,$V$23:$V$82,0)</f>
        <v>1</v>
      </c>
      <c r="U92" s="281"/>
    </row>
    <row r="93" customFormat="false" ht="12.75" hidden="true" customHeight="false" outlineLevel="0" collapsed="false">
      <c r="C93" s="534"/>
      <c r="D93" s="534"/>
      <c r="E93" s="534"/>
      <c r="R93" s="485" t="s">
        <v>3460</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3461</v>
      </c>
      <c r="B2" s="286"/>
      <c r="C2" s="287" t="s">
        <v>3462</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3463</v>
      </c>
      <c r="B3" s="286"/>
      <c r="C3" s="285" t="s">
        <v>3464</v>
      </c>
      <c r="D3" s="296"/>
      <c r="E3" s="296"/>
      <c r="F3" s="297"/>
      <c r="G3" s="297"/>
      <c r="H3" s="296"/>
      <c r="I3" s="281"/>
      <c r="J3" s="288"/>
      <c r="K3" s="298"/>
      <c r="L3" s="299" t="s">
        <v>3465</v>
      </c>
      <c r="M3" s="300"/>
      <c r="N3" s="301" t="s">
        <v>3466</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3382</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3387</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3467</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3453</v>
      </c>
      <c r="S86" s="281"/>
      <c r="T86" s="536"/>
      <c r="U86" s="281"/>
      <c r="V86" s="281"/>
    </row>
    <row r="87" customFormat="false" ht="12.75" hidden="true" customHeight="false" outlineLevel="0" collapsed="false">
      <c r="C87" s="534"/>
      <c r="D87" s="534"/>
      <c r="E87" s="534"/>
      <c r="R87" s="281" t="s">
        <v>3454</v>
      </c>
      <c r="S87" s="281"/>
      <c r="T87" s="536" t="n">
        <f aca="false">VLOOKUP($T$91,($A$23:$U$82),20,0)</f>
        <v>0</v>
      </c>
      <c r="U87" s="281"/>
      <c r="V87" s="281"/>
    </row>
    <row r="88" customFormat="false" ht="12.75" hidden="true" customHeight="false" outlineLevel="0" collapsed="false">
      <c r="C88" s="534"/>
      <c r="D88" s="534"/>
      <c r="E88" s="534"/>
      <c r="R88" s="281" t="s">
        <v>3455</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3456</v>
      </c>
      <c r="S89" s="281"/>
      <c r="T89" s="536" t="n">
        <f aca="false">MAX($V$23:$V$82)</f>
        <v>0</v>
      </c>
      <c r="U89" s="281"/>
      <c r="V89" s="0"/>
    </row>
    <row r="90" customFormat="false" ht="12.75" hidden="true" customHeight="false" outlineLevel="0" collapsed="false">
      <c r="C90" s="534"/>
      <c r="D90" s="534"/>
      <c r="E90" s="534"/>
      <c r="R90" s="281" t="s">
        <v>3457</v>
      </c>
      <c r="S90" s="281" t="s">
        <v>3383</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3458</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3459</v>
      </c>
      <c r="S92" s="281"/>
      <c r="T92" s="281" t="n">
        <f aca="false">MATCH(T89,$V$23:$V$82,0)</f>
        <v>1</v>
      </c>
      <c r="U92" s="281"/>
    </row>
    <row r="93" customFormat="false" ht="12.75" hidden="true" customHeight="false" outlineLevel="0" collapsed="false">
      <c r="C93" s="534"/>
      <c r="D93" s="534"/>
      <c r="E93" s="534"/>
      <c r="R93" s="485" t="s">
        <v>3460</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3468</v>
      </c>
      <c r="B1" s="541"/>
      <c r="C1" s="541"/>
      <c r="D1" s="541"/>
      <c r="E1" s="542" t="s">
        <v>3469</v>
      </c>
      <c r="F1" s="543" t="s">
        <v>3470</v>
      </c>
      <c r="G1" s="544"/>
      <c r="H1" s="544"/>
      <c r="I1" s="545"/>
      <c r="J1" s="545"/>
      <c r="K1" s="545"/>
      <c r="L1" s="546"/>
    </row>
    <row r="2" customFormat="false" ht="15" hidden="false" customHeight="false" outlineLevel="0" collapsed="false">
      <c r="A2" s="547" t="s">
        <v>3471</v>
      </c>
      <c r="B2" s="548"/>
      <c r="C2" s="549"/>
      <c r="D2" s="549"/>
      <c r="E2" s="550"/>
      <c r="F2" s="543" t="s">
        <v>3472</v>
      </c>
      <c r="G2" s="544"/>
      <c r="H2" s="544"/>
      <c r="I2" s="545"/>
      <c r="J2" s="545"/>
      <c r="K2" s="545"/>
      <c r="L2" s="546"/>
    </row>
    <row r="3" customFormat="false" ht="15.75" hidden="false" customHeight="false" outlineLevel="0" collapsed="false">
      <c r="A3" s="547" t="s">
        <v>3473</v>
      </c>
      <c r="B3" s="548"/>
      <c r="C3" s="549"/>
      <c r="D3" s="551" t="s">
        <v>3474</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3475</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3451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3476</v>
      </c>
      <c r="G17" s="570"/>
      <c r="H17" s="571" t="s">
        <v>3477</v>
      </c>
      <c r="I17" s="570"/>
    </row>
    <row r="18" customFormat="false" ht="15" hidden="false" customHeight="false" outlineLevel="0" collapsed="false">
      <c r="A18" s="563"/>
      <c r="B18" s="566" t="s">
        <v>2963</v>
      </c>
      <c r="C18" s="567"/>
      <c r="D18" s="568"/>
      <c r="F18" s="572" t="s">
        <v>3478</v>
      </c>
      <c r="G18" s="573"/>
      <c r="H18" s="572" t="s">
        <v>3478</v>
      </c>
      <c r="I18" s="574"/>
    </row>
    <row r="19" customFormat="false" ht="15" hidden="false" customHeight="false" outlineLevel="0" collapsed="false">
      <c r="A19" s="563"/>
      <c r="B19" s="566" t="s">
        <v>2965</v>
      </c>
      <c r="C19" s="567"/>
      <c r="D19" s="568"/>
      <c r="F19" s="575" t="s">
        <v>3479</v>
      </c>
      <c r="G19" s="8"/>
      <c r="H19" s="575" t="s">
        <v>3479</v>
      </c>
      <c r="I19" s="576"/>
    </row>
    <row r="20" customFormat="false" ht="15" hidden="false" customHeight="false" outlineLevel="0" collapsed="false">
      <c r="A20" s="563"/>
      <c r="B20" s="566" t="s">
        <v>2969</v>
      </c>
      <c r="C20" s="567"/>
      <c r="D20" s="568"/>
      <c r="F20" s="575" t="s">
        <v>3388</v>
      </c>
      <c r="G20" s="8"/>
      <c r="H20" s="575" t="s">
        <v>3388</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3389</v>
      </c>
      <c r="G23" s="8"/>
      <c r="H23" s="575" t="s">
        <v>3389</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3483</v>
      </c>
      <c r="G25" s="8"/>
      <c r="H25" s="575" t="s">
        <v>3483</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3489</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3402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2017-02-03T14:54:56Z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