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1910" sheetId="6" state="visible" r:id="rId8"/>
    <sheet name="jgjg" sheetId="7" state="hidden" r:id="rId9"/>
    <sheet name="liste codes réf" sheetId="8" state="hidden" r:id="rId10"/>
  </sheets>
  <definedNames>
    <definedName function="false" hidden="false" localSheetId="5" name="_xlnm.Print_Area" vbProcedure="false">'06181910'!$A$1:$Q$82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'06181910'!$A$1:$Q$82</definedName>
    <definedName function="false" hidden="false" localSheetId="5" name="_xlnm__FilterDatabase" vbProcedure="false">'06181910'!$A$1:$C$1415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<sst xmlns="http://schemas.openxmlformats.org/spreadsheetml/2006/main" count="8831" uniqueCount="3495">
  <si>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</si>
  <si>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</si>
  <si>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</si>
  <si>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</si>
  <si>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</si>
  <si>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</si>
  <si>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</si>
  <si>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</si>
  <si>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</si>
  <si>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</si>
  <si>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</si>
  <si>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</si>
  <si>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</si>
  <si>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</si>
  <si>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</si>
  <si>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</si>
  <si>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</si>
  <si>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</si>
  <si>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</si>
  <si>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</si>
  <si>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</si>
  <si>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</si>
  <si>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</si>
  <si>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</si>
  <si>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</si>
  <si>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</si>
  <si>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</si>
  <si>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</si>
  <si>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</si>
  <si>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</si>
  <si>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</si>
  <si>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</si>
  <si>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</si>
  <si>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</si>
  <si>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</si>
  <si>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</si>
  <si>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</si>
  <si>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</si>
  <si>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</si>
  <si>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</si>
  <si>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</si>
  <si>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</si>
  <si>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</si>
  <si>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</si>
  <si>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</si>
  <si>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</si>
  <si>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</si>
  <si>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</si>
  <si>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</si>
  <si>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</si>
  <si>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</si>
  <si>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</si>
  <si>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</si>
  <si>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</si>
  <si>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</si>
  <si>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</si>
  <si>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</si>
  <si>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</si>
  <si>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</si>
  <si>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</si>
  <si>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</si>
  <si>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</si>
  <si>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</si>
  <si>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</si>
  <si>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</si>
  <si>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</si>
  <si>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</si>
  <si>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</si>
  <si>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</si>
  <si>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</si>
  <si>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</si>
  <si>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</si>
  <si>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</si>
  <si>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</si>
  <si>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</si>
  <si>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</si>
  <si>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</si>
  <si>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</si>
  <si>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</si>
  <si>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</si>
  <si>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</si>
  <si>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</si>
  <si>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</si>
  <si>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</si>
  <si>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</si>
  <si>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</si>
  <si>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</si>
  <si>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</si>
  <si>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</si>
  <si>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</si>
  <si>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</si>
  <si>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</si>
  <si>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</si>
  <si>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</si>
  <si>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</si>
  <si>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</si>
  <si>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</si>
  <si>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</si>
  <si>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</si>
  <si>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</si>
  <si>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</si>
  <si>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</si>
  <si>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</si>
  <si>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</si>
  <si>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</si>
  <si>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</si>
  <si>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</si>
  <si>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</si>
  <si>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</si>
  <si>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</si>
  <si>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</si>
  <si>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</si>
  <si>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</si>
  <si>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</si>
  <si>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</si>
  <si>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</si>
  <si>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</si>
  <si>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</si>
  <si>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</si>
  <si>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</si>
  <si>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</si>
  <si>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</si>
  <si>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</si>
  <si>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</si>
  <si>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</si>
  <si>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</si>
  <si>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</si>
  <si>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</si>
  <si>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</si>
  <si>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</si>
  <si>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</si>
  <si>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</si>
  <si>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</si>
  <si>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</si>
  <si>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</si>
  <si>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</si>
  <si>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</si>
  <si>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</si>
  <si>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</si>
  <si>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</si>
  <si>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</si>
  <si>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</si>
  <si>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</si>
  <si>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</si>
  <si>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</si>
  <si>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</si>
  <si>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</si>
  <si>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</si>
  <si>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</si>
  <si>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</si>
  <si>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</si>
  <si>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</si>
  <si>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</si>
  <si>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</si>
  <si>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</si>
  <si>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</si>
  <si>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</si>
  <si>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</si>
  <si>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</si>
  <si>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</si>
  <si>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</si>
  <si>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</si>
  <si>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</si>
  <si>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</si>
  <si>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</si>
  <si>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</si>
  <si>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</si>
  <si>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</si>
  <si>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</si>
  <si>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</si>
  <si>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</si>
  <si>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</si>
  <si>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</si>
  <si>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</si>
  <si>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</si>
  <si>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</si>
  <si>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</si>
  <si>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</si>
  <si>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</si>
  <si>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</si>
  <si>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</si>
  <si>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</si>
  <si>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</si>
  <si>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</si>
  <si>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</si>
  <si>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</si>
  <si>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</si>
  <si>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</si>
  <si>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</si>
  <si>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</si>
  <si>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</si>
  <si>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</si>
  <si>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</si>
  <si>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</si>
  <si>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</si>
  <si>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</si>
  <si>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</si>
  <si>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</si>
  <si>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</si>
  <si>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</si>
  <si>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</si>
  <si>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</si>
  <si>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</si>
  <si>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</si>
  <si>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</si>
  <si>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</si>
  <si>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</si>
  <si>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</si>
  <si>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</si>
  <si>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</si>
  <si>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</si>
  <si>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</si>
  <si>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</si>
  <si>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</si>
  <si>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</si>
  <si>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</si>
  <si>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</si>
  <si>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</si>
  <si>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</si>
  <si>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</si>
  <si>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</si>
  <si>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</si>
  <si>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</si>
  <si>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</si>
  <si>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</si>
  <si>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</si>
  <si>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</si>
  <si>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</si>
  <si>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</si>
  <si>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</si>
  <si>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</si>
  <si>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</si>
  <si>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</si>
  <si>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</si>
  <si>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</si>
  <si>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</si>
  <si>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</si>
  <si>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</si>
  <si>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</si>
  <si>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</si>
  <si>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</si>
  <si>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</si>
  <si>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</si>
  <si>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</si>
  <si>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</si>
  <si>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</si>
  <si>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</si>
  <si>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</si>
  <si>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</si>
  <si>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</si>
  <si>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</si>
  <si>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</si>
  <si>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</si>
  <si>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</si>
  <si>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</si>
  <si>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</si>
  <si>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</si>
  <si>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</si>
  <si>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</si>
  <si>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</si>
  <si>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</si>
  <si>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</si>
  <si>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</si>
  <si>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</si>
  <si>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</si>
  <si>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</si>
  <si>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</si>
  <si>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</si>
  <si>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</si>
  <si>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</si>
  <si>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</si>
  <si>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</si>
  <si>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</si>
  <si>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</si>
  <si>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</si>
  <si>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</si>
  <si>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</si>
  <si>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</si>
  <si>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</si>
  <si>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</si>
  <si>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</si>
  <si>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</si>
  <si>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</si>
  <si>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</si>
  <si>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</si>
  <si>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</si>
  <si>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</si>
  <si>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</si>
  <si>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</si>
  <si>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</si>
  <si>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</si>
  <si>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</si>
  <si>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</si>
  <si>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</si>
  <si>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</si>
  <si>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</si>
  <si>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</si>
  <si>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</si>
  <si>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</si>
  <si>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</si>
  <si>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</si>
  <si>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</si>
  <si>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</si>
  <si>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</si>
  <si>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</si>
  <si>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</si>
  <si>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</si>
  <si>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</si>
  <si>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</si>
  <si>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</si>
  <si>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</si>
  <si>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</si>
  <si>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</si>
  <si>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</si>
  <si>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</si>
  <si>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</si>
  <si>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</si>
  <si>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</si>
  <si>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</si>
  <si>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</si>
  <si>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</si>
  <si>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</si>
  <si>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</si>
  <si>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</si>
  <si>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</si>
  <si>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</si>
  <si>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</si>
  <si>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</si>
  <si>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</si>
  <si>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</si>
  <si>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</si>
  <si>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</si>
  <si>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</si>
  <si>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</si>
  <si>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</si>
  <si>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</si>
  <si>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</si>
  <si>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</si>
  <si>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</si>
  <si>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</si>
  <si>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</si>
  <si>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</si>
  <si>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</si>
  <si>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</si>
  <si>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</si>
  <si>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</si>
  <si>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</si>
  <si>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</si>
  <si>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</si>
  <si>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</si>
  <si>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</si>
  <si>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</si>
  <si>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</si>
  <si>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</si>
  <si>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</si>
  <si>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</si>
  <si>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</si>
  <si>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</si>
  <si>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</si>
  <si>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</si>
  <si>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</si>
  <si>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</si>
  <si>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</si>
  <si>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</si>
  <si>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</si>
  <si>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</si>
  <si>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</si>
  <si>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</si>
  <si>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</si>
  <si>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</si>
  <si>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</si>
  <si>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</si>
  <si>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</si>
  <si>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</si>
  <si>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</si>
  <si>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</si>
  <si>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</si>
  <si>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</si>
  <si>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</si>
  <si>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</si>
  <si>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</si>
  <si>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</si>
  <si>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</si>
  <si>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</si>
  <si>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</si>
  <si>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</si>
  <si>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</si>
  <si>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</si>
  <si>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</si>
  <si>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</si>
  <si>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</si>
  <si>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</si>
  <si>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</si>
  <si>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</si>
  <si>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</si>
  <si>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</si>
  <si>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</si>
  <si>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</si>
  <si>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</si>
  <si>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</si>
  <si>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</si>
  <si>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</si>
  <si>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</si>
  <si>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</si>
  <si>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</si>
  <si>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</si>
  <si>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</si>
  <si>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</si>
  <si>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</si>
  <si>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</si>
  <si>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</si>
  <si>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</si>
  <si>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</si>
  <si>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</si>
  <si>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</si>
  <si>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</si>
  <si>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</si>
  <si>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</si>
  <si>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</si>
  <si>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</si>
  <si>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</si>
  <si>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</si>
  <si>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</si>
  <si>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</si>
  <si>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</si>
  <si>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</si>
  <si>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</si>
  <si>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</si>
  <si>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</si>
  <si>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</si>
  <si>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</si>
  <si>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</si>
  <si>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</si>
  <si>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</si>
  <si>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</si>
  <si>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</si>
  <si>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</si>
  <si>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</si>
  <si>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</si>
  <si>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</si>
  <si>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</si>
  <si>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</si>
  <si>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</si>
  <si>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</si>
  <si>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</si>
  <si>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</si>
  <si>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</si>
  <si>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</si>
  <si>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</si>
  <si>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</si>
  <si>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</si>
  <si>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</si>
  <si>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</si>
  <si>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</si>
  <si>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</si>
  <si>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</si>
  <si>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</si>
  <si>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</si>
  <si>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</si>
  <si>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</si>
  <si>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</si>
  <si>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</si>
  <si>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</si>
  <si>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</si>
  <si>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</si>
  <si>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</si>
  <si>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</si>
  <si>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</si>
  <si>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</si>
  <si>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</si>
  <si>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</si>
  <si>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</si>
  <si>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</si>
  <si>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</si>
  <si>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</si>
  <si>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</si>
  <si>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</si>
  <si>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</si>
  <si>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</si>
  <si>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</si>
  <si>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</si>
  <si>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</si>
  <si>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</si>
  <si>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</si>
  <si>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</si>
  <si>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</si>
  <si>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</si>
  <si>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</si>
  <si>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</si>
  <si>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</si>
  <si>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</si>
  <si>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</si>
  <si>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</si>
  <si>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</si>
  <si>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</si>
  <si>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</si>
  <si>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</si>
  <si>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</si>
  <si>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</si>
  <si>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</si>
  <si>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</si>
  <si>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</si>
  <si>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</si>
  <si>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</si>
  <si>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</si>
  <si>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</si>
  <si>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</si>
  <si>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</si>
  <si>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</si>
  <si>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</si>
  <si>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</si>
  <si>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</si>
  <si>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</si>
  <si>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</si>
  <si>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</si>
  <si>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</si>
  <si>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</si>
  <si>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</si>
  <si>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</si>
  <si>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</si>
  <si>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</si>
  <si>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</si>
  <si>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</si>
  <si>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</si>
  <si>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</si>
  <si>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</si>
  <si>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</si>
  <si>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</si>
  <si>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</si>
  <si>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</si>
  <si>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</si>
  <si>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</si>
  <si>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</si>
  <si>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</si>
  <si>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</si>
  <si>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</si>
  <si>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</si>
  <si>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</si>
  <si>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</si>
  <si>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</si>
  <si>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</si>
  <si>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</si>
  <si>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</si>
  <si>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</si>
  <si>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</si>
  <si>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</si>
  <si>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</si>
  <si>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</si>
  <si>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</si>
  <si>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</si>
  <si>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</si>
  <si>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</si>
  <si>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</si>
  <si>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</si>
  <si>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</si>
  <si>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</si>
  <si>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</si>
  <si>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</si>
  <si>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</si>
  <si>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</si>
  <si>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</si>
  <si>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</si>
  <si>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</si>
  <si>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</si>
  <si>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</si>
  <si>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</si>
  <si>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</si>
  <si>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</si>
  <si>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</si>
  <si>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</si>
  <si>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</si>
  <si>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</si>
  <si>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</si>
  <si>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</si>
  <si>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</si>
  <si>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</si>
  <si>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</si>
  <si>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</si>
  <si>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</si>
  <si>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</si>
  <si>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</si>
  <si>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</si>
  <si>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</si>
  <si>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</si>
  <si>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</si>
  <si>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</si>
  <si>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</si>
  <si>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</si>
  <si>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</si>
  <si>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</si>
  <si>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</si>
  <si>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</si>
  <si>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</si>
  <si>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</si>
  <si>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</si>
  <si>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</si>
  <si>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</si>
  <si>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</si>
  <si>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</si>
  <si>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</si>
  <si>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</si>
  <si>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</si>
  <si>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</si>
  <si>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</si>
  <si>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</si>
  <si>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</si>
  <si>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</si>
  <si>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</si>
  <si>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</si>
  <si>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</si>
  <si>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</si>
  <si>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</si>
  <si>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</si>
  <si>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</si>
  <si>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</si>
  <si>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</si>
  <si>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</si>
  <si>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</si>
  <si>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</si>
  <si>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</si>
  <si>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</si>
  <si>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</si>
  <si>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</si>
  <si>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</si>
  <si>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</si>
  <si>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</si>
  <si>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</si>
  <si>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</si>
  <si>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</si>
  <si>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</si>
  <si>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</si>
  <si>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</si>
  <si>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</si>
  <si>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</si>
  <si>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</si>
  <si>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</si>
  <si>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</si>
  <si>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</si>
  <si>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</si>
  <si>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</si>
  <si>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</si>
  <si>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</si>
  <si>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</si>
  <si>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</si>
  <si>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</si>
  <si>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</si>
  <si>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</si>
  <si>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</si>
  <si>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</si>
  <si>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</si>
  <si>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</si>
  <si>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</si>
  <si>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</si>
  <si>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</si>
  <si>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</si>
  <si>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</si>
  <si>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</si>
  <si>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</si>
  <si>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</si>
  <si>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</si>
  <si>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</si>
  <si>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</si>
  <si>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</si>
  <si>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</si>
  <si>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</si>
  <si>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</si>
  <si>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</si>
  <si>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</si>
  <si>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</si>
  <si>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</si>
  <si>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</si>
  <si>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</si>
  <si>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</si>
  <si>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</si>
  <si>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</si>
  <si>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</si>
  <si>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</si>
  <si>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</si>
  <si>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</si>
  <si>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</si>
  <si>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</si>
  <si>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</si>
  <si>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</si>
  <si>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</si>
  <si>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</si>
  <si>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</si>
  <si>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</si>
  <si>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</si>
  <si>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</si>
  <si>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</si>
  <si>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</si>
  <si>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</si>
  <si>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</si>
  <si>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</si>
  <si>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</si>
  <si>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</si>
  <si>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</si>
  <si>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</si>
  <si>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</si>
  <si>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</si>
  <si>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</si>
  <si>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</si>
  <si>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</si>
  <si>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</si>
  <si>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</si>
  <si>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</si>
  <si>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</si>
  <si>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</si>
  <si>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</si>
  <si>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</si>
  <si>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</si>
  <si>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</si>
  <si>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</si>
  <si>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</si>
  <si>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</si>
  <si>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</si>
  <si>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</si>
  <si>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</si>
  <si>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</si>
  <si>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</si>
  <si>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</si>
  <si>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</si>
  <si>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</si>
  <si>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</si>
  <si>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</si>
  <si>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</si>
  <si>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</si>
  <si>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</si>
  <si>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</si>
  <si>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</si>
  <si>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</si>
  <si>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</si>
  <si>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</si>
  <si>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</si>
  <si>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</si>
  <si>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</si>
  <si>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</si>
  <si>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</si>
  <si>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</si>
  <si>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</si>
  <si>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</si>
  <si>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</si>
  <si>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</si>
  <si>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</si>
  <si>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</si>
  <si>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</si>
  <si>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</si>
  <si>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</si>
  <si>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</si>
  <si>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</si>
  <si>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</si>
  <si>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</si>
  <si>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</si>
  <si>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</si>
  <si>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</si>
  <si>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</si>
  <si>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</si>
  <si>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</si>
  <si>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</si>
  <si>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</si>
  <si>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</si>
  <si>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</si>
  <si>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</si>
  <si>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</si>
  <si>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</si>
  <si>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</si>
  <si>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</si>
  <si>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</si>
  <si>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</si>
  <si>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</si>
  <si>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</si>
  <si>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</si>
  <si>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</si>
  <si>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</si>
  <si>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</si>
  <si>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</si>
  <si>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</si>
  <si>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</si>
  <si>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</si>
  <si>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</si>
  <si>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</si>
  <si>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</si>
  <si>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</si>
  <si>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</si>
  <si>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</si>
  <si>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</si>
  <si>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</si>
  <si>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</si>
  <si>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</si>
  <si>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</si>
  <si>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</si>
  <si>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</si>
  <si>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</si>
  <si>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</si>
  <si>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</si>
  <si>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</si>
  <si>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</si>
  <si>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</si>
  <si>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</si>
  <si>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</si>
  <si>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</si>
  <si>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</si>
  <si>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</si>
  <si>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</si>
  <si>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</si>
  <si>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</si>
  <si>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</si>
  <si>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</si>
  <si>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</si>
  <si>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</si>
  <si>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</si>
  <si>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</si>
  <si>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</si>
  <si>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</si>
  <si>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</si>
  <si>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</si>
  <si>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</si>
  <si>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</si>
  <si>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</si>
  <si>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</si>
  <si>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</si>
  <si>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</si>
  <si>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</si>
  <si>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</si>
  <si>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</si>
  <si>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</si>
  <si>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</si>
  <si>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</si>
  <si>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</si>
  <si>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</si>
  <si>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</si>
  <si>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</si>
  <si>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</si>
  <si>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</si>
  <si>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</si>
  <si>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</si>
  <si>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</si>
  <si>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</si>
  <si>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</si>
  <si>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</si>
  <si>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</si>
  <si>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</si>
  <si>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</si>
  <si>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</si>
  <si>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</si>
  <si>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</si>
  <si>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</si>
  <si>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</si>
  <si>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</si>
  <si>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</si>
  <si>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</si>
  <si>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</si>
  <si>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</si>
  <si>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</si>
  <si>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</si>
  <si>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</si>
  <si>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</si>
  <si>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</si>
  <si>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</si>
  <si>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</si>
  <si>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</si>
  <si>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</si>
  <si>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</si>
  <si>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</si>
  <si>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</si>
  <si>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</si>
  <si>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</si>
  <si>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</si>
  <si>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</si>
  <si>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</si>
  <si>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</si>
  <si>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</si>
  <si>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</si>
  <si>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</si>
  <si>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</si>
  <si>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</si>
  <si>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</si>
  <si>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</si>
  <si>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</si>
  <si>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</si>
  <si>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</si>
  <si>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</si>
  <si>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</si>
  <si>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</si>
  <si>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</si>
  <si>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</si>
  <si>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</si>
  <si>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</si>
  <si>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</si>
  <si>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</si>
  <si>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</si>
  <si>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</si>
  <si>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</si>
  <si>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</si>
  <si>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</si>
  <si>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</si>
  <si>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</si>
  <si>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</si>
  <si>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</si>
  <si>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</si>
  <si>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</si>
  <si>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</si>
  <si>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</si>
  <si>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</si>
  <si>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</si>
  <si>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</si>
  <si>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</si>
  <si>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</si>
  <si>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</si>
  <si>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</si>
  <si>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</si>
  <si>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</si>
  <si>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</si>
  <si>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</si>
  <si>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</si>
  <si>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</si>
  <si>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</si>
  <si>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</si>
  <si>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</si>
  <si>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</si>
  <si>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</si>
  <si>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</si>
  <si>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</si>
  <si>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</si>
  <si>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</si>
  <si>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</si>
  <si>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</si>
  <si>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</si>
  <si>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</si>
  <si>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</si>
  <si>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</si>
  <si>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</si>
  <si>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</si>
  <si>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</si>
  <si>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</si>
  <si>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</si>
  <si>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</si>
  <si>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</si>
  <si>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</si>
  <si>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</si>
  <si>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</si>
  <si>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</si>
  <si>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</si>
  <si>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</si>
  <si>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</si>
  <si>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</si>
  <si>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</si>
  <si>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</si>
  <si>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</si>
  <si>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</si>
  <si>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</si>
  <si>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</si>
  <si>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</si>
  <si>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</si>
  <si>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</si>
  <si>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</si>
  <si>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</si>
  <si>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</si>
  <si>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</si>
  <si>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</si>
  <si>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</si>
  <si>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</si>
  <si>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</si>
  <si>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</si>
  <si>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</si>
  <si>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</si>
  <si>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</si>
  <si>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</si>
  <si>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</si>
  <si>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</si>
  <si>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</si>
  <si>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</si>
  <si>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</si>
  <si>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</si>
  <si>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</si>
  <si>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</si>
  <si>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</si>
  <si>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</si>
  <si>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</si>
  <si>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</si>
  <si>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</si>
  <si>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</si>
  <si>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</si>
  <si>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</si>
  <si>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</si>
  <si>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</si>
  <si>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</si>
  <si>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</si>
  <si>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</si>
  <si>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</si>
  <si>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</si>
  <si>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</si>
  <si>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</si>
  <si>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</si>
  <si>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</si>
  <si>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</si>
  <si>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</si>
  <si>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</si>
  <si>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</si>
  <si>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</si>
  <si>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</si>
  <si>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</si>
  <si>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</si>
  <si>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</si>
  <si>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</si>
  <si>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</si>
  <si>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</si>
  <si>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</si>
  <si>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</si>
  <si>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</si>
  <si>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</si>
  <si>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</si>
  <si>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</si>
  <si>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</si>
  <si>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</si>
  <si>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</si>
  <si>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</si>
  <si>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</si>
  <si>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</si>
  <si>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</si>
  <si>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</si>
  <si>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</si>
  <si>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</si>
  <si>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</si>
  <si>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</si>
  <si>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</si>
  <si>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</si>
  <si>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</si>
  <si>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</si>
  <si>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</si>
  <si>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</si>
  <si>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</si>
  <si>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</si>
  <si>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</si>
  <si>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</si>
  <si>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</si>
  <si>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</si>
  <si>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</si>
  <si>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</si>
  <si>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</si>
  <si>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</si>
  <si>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</si>
  <si>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</si>
  <si>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</si>
  <si>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</si>
  <si>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</si>
  <si>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</si>
  <si>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</si>
  <si>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</si>
  <si>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</si>
  <si>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</si>
  <si>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</si>
  <si>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</si>
  <si>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</si>
  <si>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</si>
  <si>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</si>
  <si>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</si>
  <si>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</si>
  <si>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</si>
  <si>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</si>
  <si>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</si>
  <si>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</si>
  <si>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</si>
  <si>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</si>
  <si>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</si>
  <si>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</si>
  <si>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</si>
  <si>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</si>
  <si>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</si>
  <si>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</si>
  <si>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</si>
  <si>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</si>
  <si>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</si>
  <si>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</si>
  <si>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</si>
  <si>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</si>
  <si>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</si>
  <si>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</si>
  <si>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</si>
  <si>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</si>
  <si>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</si>
  <si>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</si>
  <si>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</si>
  <si>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</si>
  <si>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</si>
  <si>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</si>
  <si>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</si>
  <si>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</si>
  <si>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</si>
  <si>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</si>
  <si>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</si>
  <si>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</si>
  <si>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</si>
  <si>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</si>
  <si>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</si>
  <si>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</si>
  <si>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</si>
  <si>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</si>
  <si>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</si>
  <si>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</si>
  <si>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</si>
  <si>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</si>
  <si>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</si>
  <si>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</si>
  <si>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</si>
  <si>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</si>
  <si>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</si>
  <si>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</si>
  <si>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</si>
  <si>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</si>
  <si>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</si>
  <si>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</si>
  <si>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</si>
  <si>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</si>
  <si>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</si>
  <si>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</si>
  <si>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</si>
  <si>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</si>
  <si>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</si>
  <si>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</si>
  <si>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</si>
  <si>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</si>
  <si>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</si>
  <si>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</si>
  <si>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</si>
  <si>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</si>
  <si>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</si>
  <si>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</si>
  <si>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</si>
  <si>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</si>
  <si>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</si>
  <si>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</si>
  <si>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</si>
  <si>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</si>
  <si>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</si>
  <si>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</si>
  <si>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</si>
  <si>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</si>
  <si>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</si>
  <si>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</si>
  <si>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</si>
  <si>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</si>
  <si>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</si>
  <si>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</si>
  <si>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</si>
  <si>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</si>
  <si>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</si>
  <si>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</si>
  <si>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</si>
  <si>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</si>
  <si>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</si>
  <si>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</si>
  <si>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</si>
  <si>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</si>
  <si>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</si>
  <si>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</si>
  <si>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</si>
  <si>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</si>
  <si>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</si>
  <si>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</si>
  <si>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</si>
  <si>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</si>
  <si>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</si>
  <si>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</si>
  <si>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</si>
  <si>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</si>
  <si>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</si>
  <si>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</si>
  <si>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</si>
  <si>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</si>
  <si>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</si>
  <si>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</si>
  <si>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</si>
  <si>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</si>
  <si>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</si>
  <si>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</si>
  <si>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</si>
  <si>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</si>
  <si>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</si>
  <si>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</si>
  <si>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</si>
  <si>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</si>
  <si>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</si>
  <si>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</si>
  <si>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</si>
  <si>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</si>
  <si>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</si>
  <si>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</si>
  <si>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</si>
  <si>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</si>
  <si>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</si>
  <si>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</si>
  <si>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</si>
  <si>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</si>
  <si>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</si>
  <si>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</si>
  <si>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</si>
  <si>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</si>
  <si>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</si>
  <si>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</si>
  <si>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</si>
  <si>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</si>
  <si>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</si>
  <si>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</si>
  <si>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</si>
  <si>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</si>
  <si>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</si>
  <si>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</si>
  <si>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</si>
  <si>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</si>
  <si>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</si>
  <si>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</si>
  <si>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</si>
  <si>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</si>
  <si>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</si>
  <si>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</si>
  <si>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</si>
  <si>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</si>
  <si>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</si>
  <si>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</si>
  <si>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</si>
  <si>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</si>
  <si>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</si>
  <si>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</si>
  <si>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</si>
  <si>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</si>
  <si>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</si>
  <si>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</si>
  <si>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</si>
  <si>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</si>
  <si>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</si>
  <si>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</si>
  <si>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</si>
  <si>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</si>
  <si>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</si>
  <si>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</si>
  <si>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</si>
  <si>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</si>
  <si>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</si>
  <si>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</si>
  <si>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</si>
  <si>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</si>
  <si>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</si>
  <si>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</si>
  <si>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</si>
  <si>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</si>
  <si>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</si>
  <si>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</si>
  <si>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</si>
  <si>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</si>
  <si>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</si>
  <si>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</si>
  <si>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</si>
  <si>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</si>
  <si>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</si>
  <si>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</si>
  <si>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</si>
  <si>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</si>
  <si>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</si>
  <si>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</si>
  <si>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</si>
  <si>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</si>
  <si>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</si>
  <si>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</si>
  <si>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</si>
  <si>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</si>
  <si>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</si>
  <si>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</si>
  <si>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</si>
  <si>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</si>
  <si>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</si>
  <si>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</si>
  <si>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</si>
  <si>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</si>
  <si>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</si>
  <si>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</si>
  <si>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</si>
  <si>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</si>
  <si>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</si>
  <si>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</si>
  <si>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</si>
  <si>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</si>
  <si>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</si>
  <si>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</si>
  <si>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</si>
  <si>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</si>
  <si>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</si>
  <si>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</si>
  <si>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</si>
  <si>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</si>
  <si>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</si>
  <si>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</si>
  <si>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</si>
  <si>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</si>
  <si>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</si>
  <si>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</si>
  <si>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</si>
  <si>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</si>
  <si>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</si>
  <si>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</si>
  <si>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</si>
  <si>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</si>
  <si>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</si>
  <si>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</si>
  <si>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</si>
  <si>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</si>
  <si>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</si>
  <si>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</si>
  <si>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</si>
  <si>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</si>
  <si>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</si>
  <si>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</si>
  <si>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</si>
  <si>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</si>
  <si>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</si>
  <si>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</si>
  <si>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</si>
  <si>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</si>
  <si>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</si>
  <si>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</si>
  <si>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</si>
  <si>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</si>
  <si>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</si>
  <si>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</si>
  <si>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</si>
  <si>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</si>
  <si>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</si>
  <si>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</si>
  <si>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</si>
  <si>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</si>
  <si>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</si>
  <si>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</si>
  <si>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</si>
  <si>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</si>
  <si>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</si>
  <si>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</si>
  <si>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</si>
  <si>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</si>
  <si>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</si>
  <si>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</si>
  <si>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</si>
  <si>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</si>
  <si>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</si>
  <si>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</si>
  <si>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</si>
  <si>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</si>
  <si>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</si>
  <si>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</si>
  <si>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</si>
  <si>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</si>
  <si>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</si>
  <si>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</si>
  <si>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</si>
  <si>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</si>
  <si>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</si>
  <si>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</si>
  <si>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</si>
  <si>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</si>
  <si>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</si>
  <si>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</si>
  <si>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</si>
  <si>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</si>
  <si>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</si>
  <si>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</si>
  <si>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</si>
  <si>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</si>
  <si>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</si>
  <si>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</si>
  <si>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</si>
  <si>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</si>
  <si>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</si>
  <si>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</si>
  <si>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</si>
  <si>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</si>
  <si>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</si>
  <si>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</si>
  <si>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</si>
  <si>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</si>
  <si>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</si>
  <si>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</si>
  <si>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</si>
  <si>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</si>
  <si>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</si>
  <si>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</si>
  <si>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</si>
  <si>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</si>
  <si>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</si>
  <si>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</si>
  <si>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</si>
  <si>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</si>
  <si>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</si>
  <si>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</si>
  <si>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</si>
  <si>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</si>
  <si>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</si>
  <si>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</si>
  <si>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</si>
  <si>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</si>
  <si>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</si>
  <si>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</si>
  <si>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</si>
  <si>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</si>
  <si>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</si>
  <si>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</si>
  <si>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</si>
  <si>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</si>
  <si>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</si>
  <si>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</si>
  <si>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</si>
  <si>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</si>
  <si>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</si>
  <si>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</si>
  <si>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</si>
  <si>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</si>
  <si>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</si>
  <si>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</si>
  <si>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</si>
  <si>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</si>
  <si>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</si>
  <si>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</si>
  <si>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</si>
  <si>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</si>
  <si>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</si>
  <si>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</si>
  <si>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</si>
  <si>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</si>
  <si>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</si>
  <si>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</si>
  <si>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</si>
  <si>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</si>
  <si>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</si>
  <si>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</si>
  <si>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</si>
  <si>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</si>
  <si>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</si>
  <si>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</si>
  <si>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</si>
  <si>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</si>
  <si>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</si>
  <si>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</si>
  <si>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</si>
  <si>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</si>
  <si>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</si>
  <si>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</si>
  <si>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</si>
  <si>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</si>
  <si>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</si>
  <si>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</si>
  <si>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</si>
  <si>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</si>
  <si>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</si>
  <si>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</si>
  <si>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</si>
  <si>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</si>
  <si>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</si>
  <si>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</si>
  <si>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</si>
  <si>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</si>
  <si>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</si>
  <si>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</si>
  <si>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</si>
  <si>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</si>
  <si>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</si>
  <si>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</si>
  <si>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</si>
  <si>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</si>
  <si>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</si>
  <si>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</si>
  <si>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</si>
  <si>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</si>
  <si>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</si>
  <si>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</si>
  <si>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</si>
  <si>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</si>
  <si>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</si>
  <si>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</si>
  <si>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</si>
  <si>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</si>
  <si>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</si>
  <si>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</si>
  <si>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</si>
  <si>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</si>
  <si>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</si>
  <si>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</si>
  <si>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</si>
  <si>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</si>
  <si>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</si>
  <si>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</si>
  <si>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</si>
  <si>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</si>
  <si>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</si>
  <si>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</si>
  <si>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</si>
  <si>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</si>
  <si>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</si>
  <si>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</si>
  <si>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</si>
  <si>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</si>
  <si>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</si>
  <si>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</si>
  <si>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</si>
  <si>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</si>
  <si>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</si>
  <si>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</si>
  <si>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</si>
  <si>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</si>
  <si>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</si>
  <si>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</si>
  <si>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</si>
  <si>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</si>
  <si>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</si>
  <si>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</si>
  <si>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</si>
  <si>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</si>
  <si>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</si>
  <si>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</si>
  <si>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</si>
  <si>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</si>
  <si>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</si>
  <si>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</si>
  <si>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</si>
  <si>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</si>
  <si>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</si>
  <si>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</si>
  <si>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</si>
  <si>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</si>
  <si>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</si>
  <si>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</si>
  <si>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</si>
  <si>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</si>
  <si>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</si>
  <si>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</si>
  <si>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</si>
  <si>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</si>
  <si>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</si>
  <si>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</si>
  <si>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</si>
  <si>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</si>
  <si>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</si>
  <si>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</si>
  <si>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</si>
  <si>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</si>
  <si>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</si>
  <si>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</si>
  <si>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</si>
  <si>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</si>
  <si>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</si>
  <si>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</si>
  <si>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</si>
  <si>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</si>
  <si>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</si>
  <si>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</si>
  <si>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</si>
  <si>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</si>
  <si>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</si>
  <si>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</si>
  <si>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</si>
  <si>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</si>
  <si>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</si>
  <si>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</si>
  <si>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</si>
  <si>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</si>
  <si>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</si>
  <si>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</si>
  <si>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</si>
  <si>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</si>
  <si>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</si>
  <si>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</si>
  <si>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</si>
  <si>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</si>
  <si>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</si>
  <si>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</si>
  <si>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</si>
  <si>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</si>
  <si>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</si>
  <si>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</si>
  <si>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</si>
  <si>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</si>
  <si>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</si>
  <si>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</si>
  <si>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</si>
  <si>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</si>
  <si>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</si>
  <si>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</si>
  <si>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</si>
  <si>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</si>
  <si>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</si>
  <si>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</si>
  <si>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</si>
  <si>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</si>
  <si>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</si>
  <si>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</si>
  <si>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</si>
  <si>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</si>
  <si>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</si>
  <si>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</si>
  <si>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</si>
  <si>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</si>
  <si>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</si>
  <si>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</si>
  <si>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</si>
  <si>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</si>
  <si>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</si>
  <si>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</si>
  <si>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</si>
  <si>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</si>
  <si>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</si>
  <si>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</si>
  <si>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</si>
  <si>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</si>
  <si>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</si>
  <si>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</si>
  <si>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</si>
  <si>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</si>
  <si>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</si>
  <si>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</si>
  <si>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</si>
  <si>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</si>
  <si>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</si>
  <si>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</si>
  <si>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</si>
  <si>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</si>
  <si>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</si>
  <si>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</si>
  <si>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</si>
  <si>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</si>
  <si>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</si>
  <si>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</si>
  <si>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</si>
  <si>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</si>
  <si>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</si>
  <si>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</si>
  <si>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</si>
  <si>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</si>
  <si>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</si>
  <si>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</si>
  <si>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</si>
  <si>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</si>
  <si>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</si>
  <si>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</si>
  <si>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</si>
  <si>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</si>
  <si>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</si>
  <si>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</si>
  <si>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</si>
  <si>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</si>
  <si>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</si>
  <si>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</si>
  <si>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</si>
  <si>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</si>
  <si>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</si>
  <si>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</si>
  <si>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</si>
  <si>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</si>
  <si>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</si>
  <si>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</si>
  <si>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</si>
  <si>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</si>
  <si>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</si>
  <si>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</si>
  <si>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</si>
  <si>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</si>
  <si>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</si>
  <si>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</si>
  <si>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</si>
  <si>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</si>
  <si>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</si>
  <si>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</si>
  <si>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</si>
  <si>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</si>
  <si>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</si>
  <si>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</si>
  <si>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</si>
  <si>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</si>
  <si>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</si>
  <si>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</si>
  <si>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</si>
  <si>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</si>
  <si>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</si>
  <si>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</si>
  <si>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</si>
  <si>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</si>
  <si>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</si>
  <si>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</si>
  <si>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</si>
  <si>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</si>
  <si>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</si>
  <si>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</si>
  <si>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</si>
  <si>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</si>
  <si>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</si>
  <si>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</si>
  <si>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</si>
  <si>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</si>
  <si>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</si>
  <si>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</si>
  <si>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</si>
  <si>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</si>
  <si>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</si>
  <si>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</si>
  <si>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</si>
  <si>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</si>
  <si>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</si>
  <si>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</si>
  <si>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</si>
  <si>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</si>
  <si>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</si>
  <si>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</si>
  <si>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</si>
  <si>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</si>
  <si>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</si>
  <si>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</si>
  <si>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</si>
  <si>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</si>
  <si>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</si>
  <si>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</si>
  <si>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</si>
  <si>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</si>
  <si>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</si>
  <si>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</si>
  <si>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</si>
  <si>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</si>
  <si>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</si>
  <si>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</si>
  <si>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</si>
  <si>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</si>
  <si>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</si>
  <si>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</si>
  <si>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</si>
  <si>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</si>
  <si>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</si>
  <si>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</si>
  <si>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</si>
  <si>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</si>
  <si>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</si>
  <si>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</si>
  <si>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</si>
  <si>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</si>
  <si>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</si>
  <si>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</si>
  <si>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</si>
  <si>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</si>
  <si>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</si>
  <si>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</si>
  <si>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</si>
  <si>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</si>
  <si>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</si>
  <si>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</si>
  <si>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</si>
  <si>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</si>
  <si>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</si>
  <si>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</si>
  <si>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</si>
  <si>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</si>
  <si>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</si>
  <si>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</si>
  <si>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</si>
  <si>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</si>
  <si>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</si>
  <si>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</si>
  <si>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</si>
  <si>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</si>
  <si>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</si>
  <si>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</si>
  <si>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</si>
  <si>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</si>
  <si>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</si>
  <si>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</si>
  <si>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</si>
  <si>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</si>
  <si>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</si>
  <si>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</si>
  <si>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</si>
  <si>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</si>
  <si>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</si>
  <si>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</si>
  <si>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</si>
  <si>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</si>
  <si>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</si>
  <si>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</si>
  <si>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</si>
  <si>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</si>
  <si>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</si>
  <si>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</si>
  <si>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</si>
  <si>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</si>
  <si>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</si>
  <si>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</si>
  <si>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</si>
  <si>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</si>
  <si>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</si>
  <si>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</si>
  <si>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</si>
  <si>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</si>
  <si>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</si>
  <si>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</si>
  <si>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</si>
  <si>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</si>
  <si>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</si>
  <si>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</si>
  <si>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</si>
  <si>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</si>
  <si>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</si>
  <si>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</si>
  <si>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</si>
  <si>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</si>
  <si>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</si>
  <si>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</si>
  <si>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</si>
  <si>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</si>
  <si>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</si>
  <si>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</si>
  <si>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</si>
  <si>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</si>
  <si>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</si>
  <si>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</si>
  <si>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</si>
  <si>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</si>
  <si>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</si>
  <si>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</si>
  <si>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</si>
  <si>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</si>
  <si>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</si>
  <si>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</si>
  <si>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</si>
  <si>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</si>
  <si>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</si>
  <si>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</si>
  <si>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</si>
  <si>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</si>
  <si>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</si>
  <si>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</si>
  <si>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</si>
  <si>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</si>
  <si>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</si>
  <si>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</si>
  <si>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</si>
  <si>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</si>
  <si>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</si>
  <si>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</si>
  <si>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</si>
  <si>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</si>
  <si>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</si>
  <si>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</si>
  <si>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</si>
  <si>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</si>
  <si>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</si>
  <si>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</si>
  <si>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</si>
  <si>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</si>
  <si>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</si>
  <si>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</si>
  <si>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</si>
  <si>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</si>
  <si>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</si>
  <si>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</si>
  <si>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</si>
  <si>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</si>
  <si>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</si>
  <si>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</si>
  <si>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</si>
  <si>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</si>
  <si>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</si>
  <si>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</si>
  <si>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</si>
  <si>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</si>
  <si>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</si>
  <si>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</si>
  <si>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</si>
  <si>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</si>
  <si>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</si>
  <si>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</si>
  <si>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</si>
  <si>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</si>
  <si>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</si>
  <si>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</si>
  <si>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</si>
  <si>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</si>
  <si>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</si>
  <si>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</si>
  <si>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</si>
  <si>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</si>
  <si>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</si>
  <si>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</si>
  <si>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</si>
  <si>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</si>
  <si>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</si>
  <si>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</si>
  <si>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</si>
  <si>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</si>
  <si>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</si>
  <si>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</si>
  <si>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</si>
  <si>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</si>
  <si>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</si>
  <si>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</si>
  <si>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</si>
  <si>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</si>
  <si>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</si>
  <si>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</si>
  <si>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</si>
  <si>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</si>
  <si>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</si>
  <si>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</si>
  <si>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</si>
  <si>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</si>
  <si>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</si>
  <si>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</si>
  <si>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</si>
  <si>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</si>
  <si>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</si>
  <si>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</si>
  <si>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</si>
  <si>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</si>
  <si>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</si>
  <si>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</si>
  <si>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</si>
  <si>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</si>
  <si>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</si>
  <si>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</si>
  <si>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</si>
  <si>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</si>
  <si>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</si>
  <si>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</si>
  <si>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</si>
  <si>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</si>
  <si>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</si>
  <si>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</si>
  <si>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</si>
  <si>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</si>
  <si>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</si>
  <si>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</si>
  <si>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</si>
  <si>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</si>
  <si>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</si>
  <si>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</si>
  <si>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</si>
  <si>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</si>
  <si>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</si>
  <si>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</si>
  <si>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</si>
  <si>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</si>
  <si>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</si>
  <si>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</si>
  <si>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</si>
  <si>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</si>
  <si>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</si>
  <si>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</si>
  <si>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</si>
  <si>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</si>
  <si>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</si>
  <si>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</si>
  <si>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</si>
  <si>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</si>
  <si>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</si>
  <si>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</si>
  <si>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</si>
  <si>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</si>
  <si>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</si>
  <si>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</si>
  <si>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</si>
  <si>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</si>
  <si>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</si>
  <si>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</si>
  <si>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</si>
  <si>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</si>
  <si>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</si>
  <si>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</si>
  <si>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</si>
  <si>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</si>
  <si>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</si>
  <si>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</si>
  <si>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</si>
  <si>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</si>
  <si>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</si>
  <si>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</si>
  <si>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</si>
  <si>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</si>
  <si>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</si>
  <si>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</si>
  <si>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</si>
  <si>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</si>
  <si>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</si>
  <si>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</si>
  <si>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</si>
  <si>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</si>
  <si>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</si>
  <si>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</si>
  <si>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</si>
  <si>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</si>
  <si>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</si>
  <si>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</si>
  <si>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</si>
  <si>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</si>
  <si>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</si>
  <si>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</si>
  <si>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</si>
  <si>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</si>
  <si>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</si>
  <si>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</si>
  <si>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</si>
  <si>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</si>
  <si>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</si>
  <si>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</si>
  <si>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</si>
  <si>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</si>
  <si>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</si>
  <si>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</si>
  <si>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</si>
  <si>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</si>
  <si>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</si>
  <si>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</si>
  <si>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</si>
  <si>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</si>
  <si>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</si>
  <si>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</si>
  <si>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</si>
  <si>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</si>
  <si>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</si>
  <si>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</si>
  <si>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</si>
  <si>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</si>
  <si>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</si>
  <si>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</si>
  <si>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</si>
  <si>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</si>
  <si>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</si>
  <si>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</si>
  <si>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</si>
  <si>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</si>
  <si>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</si>
  <si>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</si>
  <si>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</si>
  <si>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</si>
  <si>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</si>
  <si>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</si>
  <si>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</si>
  <si>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</si>
  <si>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</si>
  <si>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</si>
  <si>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</si>
  <si>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</si>
  <si>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</si>
  <si>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</si>
  <si>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</si>
  <si>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</si>
  <si>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</si>
  <si>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</si>
  <si>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</si>
  <si>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</si>
  <si>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</si>
  <si>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</si>
  <si>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</si>
  <si>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</si>
  <si>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</si>
  <si>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</si>
  <si>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</si>
  <si>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</si>
  <si>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</si>
  <si>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</si>
  <si>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</si>
  <si>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</si>
  <si>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</si>
  <si>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</si>
  <si>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</si>
  <si>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</si>
  <si>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</si>
  <si>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</si>
  <si>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</si>
  <si>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</si>
  <si>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</si>
  <si>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</si>
  <si>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</si>
  <si>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</si>
  <si>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</si>
  <si>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</si>
  <si>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</si>
  <si>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</si>
  <si>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</si>
  <si>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</si>
  <si>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</si>
  <si>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</si>
  <si>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</si>
  <si>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</si>
  <si>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</si>
  <si>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</si>
  <si>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</si>
  <si>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</si>
  <si>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</si>
  <si>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</si>
  <si>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</si>
  <si>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</si>
  <si>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</si>
  <si>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</si>
  <si>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</si>
  <si>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</si>
  <si>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</si>
  <si>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</si>
  <si>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</si>
  <si>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</si>
  <si>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</si>
  <si>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</si>
  <si>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</si>
  <si>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</si>
  <si>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</si>
  <si>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</si>
  <si>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</si>
  <si>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</si>
  <si>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</si>
  <si>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</si>
  <si>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</si>
  <si>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</si>
  <si>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</si>
  <si>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</si>
  <si>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</si>
  <si>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</si>
  <si>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</si>
  <si>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</si>
  <si>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</si>
  <si>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</si>
  <si>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</si>
  <si>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</si>
  <si>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</si>
  <si>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</si>
  <si>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</si>
  <si>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</si>
  <si>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</si>
  <si>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</si>
  <si>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</si>
  <si>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</si>
  <si>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</si>
  <si>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</si>
  <si>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</si>
  <si>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</si>
  <si>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</si>
  <si>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</si>
  <si>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</si>
  <si>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</si>
  <si>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</si>
  <si>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</si>
  <si>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</si>
  <si>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</si>
  <si>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</si>
  <si>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</si>
  <si>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</si>
  <si>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</si>
  <si>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</si>
  <si>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</si>
  <si>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</si>
  <si>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</si>
  <si>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</si>
  <si>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</si>
  <si>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</si>
  <si>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</si>
  <si>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</si>
  <si>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</si>
  <si>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</si>
  <si>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</si>
  <si>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</si>
  <si>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</si>
  <si>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</si>
  <si>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</si>
  <si>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</si>
  <si>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</si>
  <si>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</si>
  <si>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</si>
  <si>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</si>
  <si>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</si>
  <si>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</si>
  <si>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</si>
  <si>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</si>
  <si>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</si>
  <si>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</si>
  <si>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</si>
  <si>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</si>
  <si>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</si>
  <si>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</si>
  <si>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</si>
  <si>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</si>
  <si>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</si>
  <si>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</si>
  <si>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</si>
  <si>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</si>
  <si>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</si>
  <si>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</si>
  <si>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</si>
  <si>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</si>
  <si>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</si>
  <si>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</si>
  <si>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</si>
  <si>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</si>
  <si>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</si>
  <si>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</si>
  <si>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</si>
  <si>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</si>
  <si>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</si>
  <si>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</si>
  <si>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</si>
  <si>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</si>
  <si>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</si>
  <si>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</si>
  <si>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</si>
  <si>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</si>
  <si>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</si>
  <si>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</si>
  <si>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</si>
  <si>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</si>
  <si>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</si>
  <si>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</si>
  <si>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</si>
  <si>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</si>
  <si>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</si>
  <si>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</si>
  <si>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</si>
  <si>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</si>
  <si>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</si>
  <si>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</si>
  <si>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</si>
  <si>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</si>
  <si>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</si>
  <si>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</si>
  <si>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</si>
  <si>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</si>
  <si>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</si>
  <si>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</si>
  <si>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</si>
  <si>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</si>
  <si>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</si>
  <si>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</si>
  <si>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</si>
  <si>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</si>
  <si>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</si>
  <si>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</si>
  <si>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</si>
  <si>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</si>
  <si>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</si>
  <si>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</si>
  <si>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</si>
  <si>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</si>
  <si>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</si>
  <si>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</si>
  <si>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</si>
  <si>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</si>
  <si>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</si>
  <si>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</si>
  <si>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</si>
  <si>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</si>
  <si>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</si>
  <si>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</si>
  <si>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</si>
  <si>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</si>
  <si>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</si>
  <si>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</si>
  <si>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</si>
  <si>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</si>
  <si>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</si>
  <si>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</si>
  <si>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</si>
  <si>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</si>
  <si>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</si>
  <si>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</si>
  <si>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</si>
  <si>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</si>
  <si>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</si>
  <si>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</si>
  <si>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</si>
  <si>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</si>
  <si>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</si>
  <si>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</si>
  <si>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</si>
  <si>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</si>
  <si>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</si>
  <si>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</si>
  <si>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</si>
  <si>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</si>
  <si>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</si>
  <si>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</si>
  <si>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</si>
  <si>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</si>
  <si>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</si>
  <si>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</si>
  <si>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</si>
  <si>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</si>
  <si>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</si>
  <si>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</si>
  <si>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</si>
  <si>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</si>
  <si>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</si>
  <si>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</si>
  <si>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</si>
  <si>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</si>
  <si>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</si>
  <si>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</si>
  <si>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</si>
  <si>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</si>
  <si>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</si>
  <si>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</si>
  <si>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</si>
  <si>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</si>
  <si>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</si>
  <si>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</si>
  <si>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</si>
  <si>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</si>
  <si>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</si>
  <si>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</si>
  <si>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</si>
  <si>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</si>
  <si>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</si>
  <si>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</si>
  <si>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</si>
  <si>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</si>
  <si>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</si>
  <si>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</si>
  <si>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</si>
  <si>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</si>
  <si>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</si>
  <si>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</si>
  <si>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</si>
  <si>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</si>
  <si>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</si>
  <si>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</si>
  <si>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</si>
  <si>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</si>
  <si>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</si>
  <si>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</si>
  <si>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</si>
  <si>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</si>
  <si>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</si>
  <si>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</si>
  <si>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</si>
  <si>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</si>
  <si>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</si>
  <si>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</si>
  <si>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</si>
  <si>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</si>
  <si>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</si>
  <si>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</si>
  <si>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</si>
  <si>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</si>
  <si>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</si>
  <si>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</si>
  <si>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</si>
  <si>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</si>
  <si>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</si>
  <si>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</si>
  <si>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</si>
  <si>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</si>
  <si>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</si>
  <si>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</si>
  <si>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</si>
  <si>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</si>
  <si>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</si>
  <si>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</si>
  <si>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</si>
  <si>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</si>
  <si>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</si>
  <si>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</si>
  <si>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</si>
  <si>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</si>
  <si>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</si>
  <si>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</si>
  <si>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</si>
  <si>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</si>
  <si>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</si>
  <si>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</si>
  <si>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</si>
  <si>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</si>
  <si>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</si>
  <si>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</si>
  <si>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</si>
  <si>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</si>
  <si>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</si>
  <si>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</si>
  <si>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</si>
  <si>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</si>
  <si>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</si>
  <si>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</si>
  <si>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</si>
  <si>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</si>
  <si>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</si>
  <si>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</si>
  <si>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</si>
  <si>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</si>
  <si>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</si>
  <si>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</si>
  <si>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</si>
  <si>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</si>
  <si>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</si>
  <si>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</si>
  <si>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</si>
  <si>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</si>
  <si>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</si>
  <si>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</si>
  <si>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</si>
  <si>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</si>
  <si>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</si>
  <si>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</si>
  <si>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</si>
  <si>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</si>
  <si>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</si>
  <si>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</si>
  <si>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</si>
  <si>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</si>
  <si>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</si>
  <si>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</si>
  <si>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</si>
  <si>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</si>
  <si>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</si>
  <si>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</si>
  <si>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</si>
  <si>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</si>
  <si>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</si>
  <si>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</si>
  <si>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</si>
  <si>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</si>
  <si>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</si>
  <si>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</si>
  <si>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</si>
  <si>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</si>
  <si>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</si>
  <si>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</si>
  <si>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</si>
  <si>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</si>
  <si>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</si>
  <si>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</si>
  <si>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</si>
  <si>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</si>
  <si>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</si>
  <si>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</si>
  <si>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</si>
  <si>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</si>
  <si>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</si>
  <si>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</si>
  <si>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</si>
  <si>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</si>
  <si>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</si>
  <si>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</si>
  <si>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</si>
  <si>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</si>
  <si>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</si>
  <si>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</si>
  <si>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</si>
  <si>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</si>
  <si>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</si>
  <si>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</si>
  <si>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</si>
  <si>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</si>
  <si>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</si>
  <si>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</si>
  <si>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</si>
  <si>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</si>
  <si>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</si>
  <si>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</si>
  <si>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</si>
  <si>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</si>
  <si>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</si>
  <si>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</si>
  <si>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</si>
  <si>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</si>
  <si>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</si>
  <si>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</si>
  <si>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</si>
  <si>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</si>
  <si>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</si>
  <si>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</si>
  <si>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</si>
  <si>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</si>
  <si>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</si>
  <si>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</si>
  <si>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</si>
  <si>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</si>
  <si>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</si>
  <si>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</si>
  <si>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</si>
  <si>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</si>
  <si>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</si>
  <si>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</si>
  <si>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</si>
  <si>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</si>
  <si>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</si>
  <si>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</si>
  <si>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</si>
  <si>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</si>
  <si>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</si>
  <si>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</si>
  <si>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</si>
  <si>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</si>
  <si>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</si>
  <si>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</si>
  <si>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</si>
  <si>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</si>
  <si>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</si>
  <si>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</si>
  <si>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</si>
  <si>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</si>
  <si>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</si>
  <si>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</si>
  <si>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</si>
  <si>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</si>
  <si>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</si>
  <si>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</si>
  <si>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</si>
  <si>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</si>
  <si>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</si>
  <si>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</si>
  <si>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</si>
  <si>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</si>
  <si>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</si>
  <si>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</si>
  <si>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</si>
  <si>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</si>
  <si>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</si>
  <si>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</si>
  <si>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</si>
  <si>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</si>
  <si>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</si>
  <si>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</si>
  <si>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</si>
  <si>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</si>
  <si>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</si>
  <si>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</si>
  <si>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</si>
  <si>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</si>
  <si>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</si>
  <si>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</si>
  <si>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</si>
  <si>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</si>
  <si>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</si>
  <si>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</si>
  <si>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</si>
  <si>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</si>
  <si>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</si>
  <si>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</si>
  <si>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</si>
  <si>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</si>
  <si>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</si>
  <si>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</si>
  <si>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</si>
  <si>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</si>
  <si>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</si>
  <si>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</si>
  <si>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</si>
  <si>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</si>
  <si>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</si>
  <si>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</si>
  <si>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</si>
  <si>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</si>
  <si>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</si>
  <si>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</si>
  <si>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</si>
  <si>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</si>
  <si>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</si>
  <si>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</si>
  <si>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</si>
  <si>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</si>
  <si>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</si>
  <si>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</si>
  <si>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</si>
  <si>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</si>
  <si>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</si>
  <si>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</si>
  <si>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</si>
  <si>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</si>
  <si>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</si>
  <si>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</si>
  <si>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</si>
  <si>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</si>
  <si>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</si>
  <si>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</si>
  <si>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</si>
  <si>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</si>
  <si>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</si>
  <si>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</si>
  <si>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</si>
  <si>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</si>
  <si>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</si>
  <si>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</si>
  <si>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</si>
  <si>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</si>
  <si>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</si>
  <si>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</si>
  <si>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</si>
  <si>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</si>
  <si>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</si>
  <si>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</si>
  <si>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</si>
  <si>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</si>
  <si>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</si>
  <si>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</si>
  <si>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</si>
  <si>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</si>
  <si>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</si>
  <si>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</si>
  <si>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</si>
  <si>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</si>
  <si>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</si>
  <si>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</si>
  <si>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</si>
  <si>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</si>
  <si>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</si>
  <si>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</si>
  <si>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</si>
  <si>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</si>
  <si>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</si>
  <si>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</si>
  <si>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</si>
  <si>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</si>
  <si>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</si>
  <si>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</si>
  <si>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</si>
  <si>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</si>
  <si>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</si>
  <si>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</si>
  <si>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</si>
  <si>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</si>
  <si>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</si>
  <si>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</si>
  <si>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</si>
  <si>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</si>
  <si>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</si>
  <si>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</si>
  <si>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</si>
  <si>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</si>
  <si>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</si>
  <si>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</si>
  <si>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</si>
  <si>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</si>
  <si>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</si>
  <si>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</si>
  <si>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</si>
  <si>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</si>
  <si>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</si>
  <si>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</si>
  <si>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</si>
  <si>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</si>
  <si>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</si>
  <si>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</si>
  <si>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</si>
  <si>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</si>
  <si>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</si>
  <si>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</si>
  <si>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</si>
  <si>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</si>
  <si>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</si>
  <si>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</si>
  <si>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</si>
  <si>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</si>
  <si>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</si>
  <si>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</si>
  <si>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</si>
  <si>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</si>
  <si>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</si>
  <si>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</si>
  <si>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</si>
  <si>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</si>
  <si>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</si>
  <si>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</si>
  <si>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</si>
  <si>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</si>
  <si>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</si>
  <si>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</si>
  <si>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</si>
  <si>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</si>
  <si>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</si>
  <si>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</si>
  <si>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</si>
  <si>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</si>
  <si>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</si>
  <si>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</si>
  <si>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</si>
  <si>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</si>
  <si>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</si>
  <si>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</si>
  <si>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</si>
  <si>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</si>
  <si>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</si>
  <si>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</si>
  <si>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</si>
  <si>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</si>
  <si>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</si>
  <si>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</si>
  <si>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</si>
  <si>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</si>
  <si>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</si>
  <si>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</si>
  <si>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</si>
  <si>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</si>
  <si>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</si>
  <si>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</si>
  <si>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</si>
  <si>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</si>
  <si>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</si>
  <si>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</si>
  <si>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</si>
  <si>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</si>
  <si>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</si>
  <si>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</si>
  <si>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</si>
  <si>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</si>
  <si>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</si>
  <si>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</si>
  <si>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</si>
  <si>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</si>
  <si>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</si>
  <si>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</si>
  <si>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</si>
  <si>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</si>
  <si>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</si>
  <si>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</si>
  <si>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</si>
  <si>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</si>
  <si>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</si>
  <si>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</si>
  <si>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</si>
  <si>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</si>
  <si>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</si>
  <si>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</si>
  <si>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</si>
  <si>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</si>
  <si>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</si>
  <si>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</si>
  <si>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</si>
  <si>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</si>
  <si>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</si>
  <si>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</si>
  <si>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</si>
  <si>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</si>
  <si>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</si>
  <si>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</si>
  <si>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</si>
  <si>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</si>
  <si>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</si>
  <si>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</si>
  <si>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</si>
  <si>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</si>
  <si>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</si>
  <si>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</si>
  <si>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</si>
  <si>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</si>
  <si>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</si>
  <si>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</si>
  <si>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</si>
  <si>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</si>
  <si>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</si>
  <si>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</si>
  <si>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</si>
  <si>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</si>
  <si>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</si>
  <si>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</si>
  <si>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</si>
  <si>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</si>
  <si>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</si>
  <si>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</si>
  <si>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</si>
  <si>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</si>
  <si>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</si>
  <si>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</si>
  <si>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</si>
  <si>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</si>
  <si>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</si>
  <si>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</si>
  <si>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</si>
  <si>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</si>
  <si>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</si>
  <si>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</si>
  <si>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</si>
  <si>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</si>
  <si>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</si>
  <si>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</si>
  <si>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</si>
  <si>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</si>
  <si>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</si>
  <si>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</si>
  <si>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</si>
  <si>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</si>
  <si>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</si>
  <si>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</si>
  <si>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</si>
  <si>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</si>
  <si>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</si>
  <si>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</si>
  <si>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</si>
  <si>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</si>
  <si>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</si>
  <si>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</si>
  <si>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</si>
  <si>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</si>
  <si>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</si>
  <si>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</si>
  <si>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</si>
  <si>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</si>
  <si>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</si>
  <si>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</si>
  <si>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</si>
  <si>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</si>
  <si>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</si>
  <si>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</si>
  <si>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</si>
  <si>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</si>
  <si>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</si>
  <si>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</si>
  <si>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</si>
  <si>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</si>
  <si>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</si>
  <si>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</si>
  <si>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</si>
  <si>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</si>
  <si>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</si>
  <si>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</si>
  <si>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</si>
  <si>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</si>
  <si>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</si>
  <si>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</si>
  <si>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</si>
  <si>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</si>
  <si>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</si>
  <si>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</si>
  <si>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</si>
  <si>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</si>
  <si>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</si>
  <si>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</si>
  <si>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</si>
  <si>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</si>
  <si>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</si>
  <si>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</si>
  <si>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</si>
  <si>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</si>
  <si>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</si>
  <si>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</si>
  <si>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</si>
  <si>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</si>
  <si>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</si>
  <si>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</si>
  <si>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</si>
  <si>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</si>
  <si>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</si>
  <si>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</si>
  <si>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</si>
  <si>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</si>
  <si>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</si>
  <si>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</si>
  <si>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</si>
  <si>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</si>
  <si>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</si>
  <si>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</si>
  <si>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</si>
  <si>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</si>
  <si>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</si>
  <si>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</si>
  <si>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</si>
  <si>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</si>
  <si>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</si>
  <si>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</si>
  <si>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</si>
  <si>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</si>
  <si>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</si>
  <si>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</si>
  <si>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</si>
  <si>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</si>
  <si>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</si>
  <si>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</si>
  <si>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</si>
  <si>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</si>
  <si>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</si>
  <si>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</si>
  <si>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</si>
  <si>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</si>
  <si>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</si>
  <si>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</si>
  <si>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</si>
  <si>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</si>
  <si>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</si>
  <si>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</si>
  <si>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</si>
  <si>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</si>
  <si>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</si>
  <si>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</si>
  <si>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</si>
  <si>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</si>
  <si>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</si>
  <si>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</si>
  <si>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</si>
  <si>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</si>
  <si>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</si>
  <si>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</si>
  <si>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</si>
  <si>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</si>
  <si>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</si>
  <si>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</si>
  <si>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</si>
  <si>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</si>
  <si>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</si>
  <si>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</si>
  <si>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</si>
  <si>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</si>
  <si>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</si>
  <si>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</si>
  <si>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</si>
  <si>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</si>
  <si>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</si>
  <si>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</si>
  <si>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</si>
  <si>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</si>
  <si>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</si>
  <si>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</si>
  <si>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</si>
  <si>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</si>
  <si>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</si>
  <si>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</si>
  <si>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</si>
  <si>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</si>
  <si>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</si>
  <si>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</si>
  <si>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</si>
  <si>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</si>
  <si>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</si>
  <si>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</si>
  <si>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</si>
  <si>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</si>
  <si>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</si>
  <si>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</si>
  <si>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</si>
  <si>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</si>
  <si>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</si>
  <si>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</si>
  <si>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</si>
  <si>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</si>
  <si>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</si>
  <si>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</si>
  <si>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</si>
  <si>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</si>
  <si>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</si>
  <si>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</si>
  <si>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</si>
  <si>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</si>
  <si>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</si>
  <si>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</si>
  <si>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</si>
  <si>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</si>
  <si>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</si>
  <si>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</si>
  <si>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</si>
  <si>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</si>
  <si>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</si>
  <si>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</si>
  <si>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</si>
  <si>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</si>
  <si>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</si>
  <si>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</si>
  <si>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</si>
  <si>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</si>
  <si>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</si>
  <si>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</si>
  <si>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</si>
  <si>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</si>
  <si>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</si>
  <si>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</si>
  <si>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</si>
  <si>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</si>
  <si>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</si>
  <si>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</si>
  <si>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</si>
  <si>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</si>
  <si>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</si>
  <si>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</si>
  <si>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</si>
  <si>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</si>
  <si>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</si>
  <si>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</si>
  <si>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</si>
  <si>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</si>
  <si>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</si>
  <si>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</si>
  <si>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</si>
  <si>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</si>
  <si>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</si>
  <si>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</si>
  <si>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</si>
  <si>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</si>
  <si>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</si>
  <si>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</si>
  <si>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</si>
  <si>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</si>
  <si>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</si>
  <si>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</si>
  <si>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</si>
  <si>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</si>
  <si>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</si>
  <si>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</si>
  <si>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</si>
  <si>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</si>
  <si>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</si>
  <si>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</si>
  <si>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</si>
  <si>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</si>
  <si>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</si>
  <si>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</si>
  <si>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</si>
  <si>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</si>
  <si>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</si>
  <si>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</si>
  <si>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</si>
  <si>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</si>
  <si>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</si>
  <si>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</si>
  <si>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</si>
  <si>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</si>
  <si>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</si>
  <si>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</si>
  <si>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</si>
  <si>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</si>
  <si>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</si>
  <si>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</si>
  <si>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</si>
  <si>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</si>
  <si>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</si>
  <si>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</si>
  <si>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</si>
  <si>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</si>
  <si>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</si>
  <si>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</si>
  <si>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</si>
  <si>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</si>
  <si>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</si>
  <si>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</si>
  <si>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</si>
  <si>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</si>
  <si>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</si>
  <si>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</si>
  <si>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</si>
  <si>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</si>
  <si>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</si>
  <si>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</si>
  <si>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</si>
  <si>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</si>
  <si>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</si>
  <si>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</si>
  <si>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</si>
  <si>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</si>
  <si>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</si>
  <si>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</si>
  <si>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</si>
  <si>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</si>
  <si>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</si>
  <si>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</si>
  <si>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</si>
  <si>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</si>
  <si>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</si>
  <si>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</si>
  <si>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</si>
  <si>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</si>
  <si>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</si>
  <si>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</si>
  <si>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</si>
  <si>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</si>
  <si>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</si>
  <si>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</si>
  <si>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</si>
  <si>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</si>
  <si>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</si>
  <si>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</si>
  <si>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</si>
  <si>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</si>
  <si>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</si>
  <si>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</si>
  <si>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</si>
  <si>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</si>
  <si>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</si>
  <si>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</si>
  <si>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</si>
  <si>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</si>
  <si>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</si>
  <si>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</si>
  <si>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</si>
  <si>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</si>
  <si>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</si>
  <si>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</si>
  <si>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</si>
  <si>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</si>
  <si>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</si>
  <si>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</si>
  <si>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</si>
  <si>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</si>
  <si>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</si>
  <si>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</si>
  <si>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</si>
  <si>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</si>
  <si>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</si>
  <si>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</si>
  <si>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</si>
  <si>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</si>
  <si>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</si>
  <si>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</si>
  <si>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</si>
  <si>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</si>
  <si>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</si>
  <si>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</si>
  <si>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</si>
  <si>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</si>
  <si>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</si>
  <si>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</si>
  <si>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</si>
  <si>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</si>
  <si>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</si>
  <si>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</si>
  <si>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</si>
  <si>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</si>
  <si>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</si>
  <si>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</si>
  <si>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</si>
  <si>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</si>
  <si>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</si>
  <si>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</si>
  <si>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</si>
  <si>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</si>
  <si>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</si>
  <si>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</si>
  <si>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</si>
  <si>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</si>
  <si>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</si>
  <si>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</si>
  <si>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</si>
  <si>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</si>
  <si>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</si>
  <si>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</si>
  <si>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</si>
  <si>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</si>
  <si>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</si>
  <si>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</si>
  <si>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</si>
  <si>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</si>
  <si>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</si>
  <si>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</si>
  <si>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</si>
  <si>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</si>
  <si>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</si>
  <si>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</si>
  <si>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</si>
  <si>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</si>
  <si>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</si>
  <si>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</si>
  <si>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</si>
  <si>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</si>
  <si>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</si>
  <si>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</si>
  <si>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</si>
  <si>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</si>
  <si>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</si>
  <si>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</si>
  <si>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</si>
  <si>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</si>
  <si>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</si>
  <si>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</si>
  <si>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</si>
  <si>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</si>
  <si>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</si>
  <si>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</si>
  <si>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</si>
  <si>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</si>
  <si>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</si>
  <si>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</si>
  <si>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</si>
  <si>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</si>
  <si>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</si>
  <si>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</si>
  <si>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</si>
  <si>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</si>
  <si>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</si>
  <si>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</si>
  <si>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</si>
  <si>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</si>
  <si>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</si>
  <si>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</si>
  <si>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</si>
  <si>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</si>
  <si>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</si>
  <si>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</si>
  <si>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</si>
  <si>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</si>
  <si>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</si>
  <si>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</si>
  <si>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</si>
  <si>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</si>
  <si>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</si>
  <si>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</si>
  <si>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</si>
  <si>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</si>
  <si>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</si>
  <si>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</si>
  <si>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</si>
  <si>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</si>
  <si>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</si>
  <si>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</si>
  <si>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</si>
  <si>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</si>
  <si>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</si>
  <si>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</si>
  <si>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</si>
  <si>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</si>
  <si>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</si>
  <si>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</si>
  <si>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</si>
  <si>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</si>
  <si>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</si>
  <si>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</si>
  <si>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</si>
  <si>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</si>
  <si>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</si>
  <si>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</si>
  <si>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</si>
  <si>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</si>
  <si>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</si>
  <si>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</si>
  <si>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</si>
  <si>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</si>
  <si>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</si>
  <si>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</si>
  <si>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</si>
  <si>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</si>
  <si>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</si>
  <si>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</si>
  <si>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</si>
  <si>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</si>
  <si>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</si>
  <si>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</si>
  <si>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</si>
  <si>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</si>
  <si>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</si>
  <si>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</si>
  <si>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</si>
  <si>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</si>
  <si>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</si>
  <si>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</si>
  <si>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</si>
  <si>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</si>
  <si>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</si>
  <si>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</si>
  <si>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</si>
  <si>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</si>
  <si>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</si>
  <si>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</si>
  <si>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</si>
  <si>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</si>
  <si>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</si>
  <si>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</si>
  <si>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</si>
  <si>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</si>
  <si>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</si>
  <si>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</si>
  <si>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</si>
  <si>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</si>
  <si>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</si>
  <si>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</si>
  <si>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</si>
  <si>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</si>
  <si>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</si>
  <si>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</si>
  <si>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</si>
  <si>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</si>
  <si>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</si>
  <si>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</si>
  <si>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</si>
  <si>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</si>
  <si>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</si>
  <si>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</si>
  <si>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</si>
  <si>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</si>
  <si>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</si>
  <si>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</si>
  <si>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</si>
  <si>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</si>
  <si>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</si>
  <si>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</si>
  <si>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</si>
  <si>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</si>
  <si>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</si>
  <si>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</si>
  <si>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</si>
  <si>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</si>
  <si>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</si>
  <si>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</si>
  <si>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</si>
  <si>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</si>
  <si>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</si>
  <si>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</si>
  <si>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</si>
  <si>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</si>
  <si>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</si>
  <si>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</si>
  <si>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</si>
  <si>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</si>
  <si>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</si>
  <si>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</si>
  <si>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</si>
  <si>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</si>
  <si>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</si>
  <si>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</si>
  <si>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</si>
  <si>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</si>
  <si>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</si>
  <si>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</si>
  <si>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</si>
  <si>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</si>
  <si>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</si>
  <si>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</si>
  <si>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</si>
  <si>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</si>
  <si>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</si>
  <si>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</si>
  <si>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</si>
  <si>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</si>
  <si>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</si>
  <si>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</si>
  <si>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</si>
  <si>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</si>
  <si>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</si>
  <si>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</si>
  <si>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</si>
  <si>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</si>
  <si>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</si>
  <si>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</si>
  <si>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</si>
  <si>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</si>
  <si>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</si>
  <si>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</si>
  <si>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</si>
  <si>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</si>
  <si>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</si>
  <si>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</si>
  <si>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</si>
  <si>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</si>
  <si>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</si>
  <si>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</si>
  <si>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</si>
  <si>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</si>
  <si>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</si>
  <si>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</si>
  <si>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</si>
  <si>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</si>
  <si>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</si>
  <si>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</si>
  <si>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</si>
  <si>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</si>
  <si>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</si>
  <si>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</si>
  <si>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</si>
  <si>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</si>
  <si>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</si>
  <si>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</si>
  <si>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</si>
  <si>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</si>
  <si>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</si>
  <si>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</si>
  <si>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</si>
  <si>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</si>
  <si>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</si>
  <si>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</si>
  <si>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</si>
  <si>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</si>
  <si>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</si>
  <si>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</si>
  <si>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</si>
  <si>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</si>
  <si>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</si>
  <si>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</si>
  <si>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</si>
  <si>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</si>
  <si>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</si>
  <si>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</si>
  <si>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</si>
  <si>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</si>
  <si>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</si>
  <si>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</si>
  <si>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</si>
  <si>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</si>
  <si>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</si>
  <si>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</si>
  <si>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JENNIFER GSTALDER</t>
  </si>
  <si>
    <t xml:space="preserve">HERAULT</t>
  </si>
  <si>
    <t xml:space="preserve">HERAULT A VALLERAUGUE 2</t>
  </si>
  <si>
    <t xml:space="preserve">06181910</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</si>
  <si>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</si>
  <si>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</si>
  <si>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</si>
  <si>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</si>
  <si>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</si>
  <si>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</si>
  <si>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</si>
  <si>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</si>
  <si>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mouille</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</si>
  <si>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</si>
  <si>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</si>
  <si>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</si>
  <si>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</si>
  <si>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</si>
  <si>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</si>
  <si>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</si>
  <si>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</si>
  <si>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</si>
  <si>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</si>
  <si>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</si>
  <si>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</si>
  <si>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</si>
  <si>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</si>
  <si>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</si>
  <si>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</si>
  <si>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</si>
  <si>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</si>
  <si>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</si>
  <si>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</si>
  <si>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</si>
  <si>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</si>
  <si>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</si>
  <si>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</si>
  <si>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</si>
  <si>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</si>
  <si>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</si>
  <si>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</si>
  <si>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</si>
  <si>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</si>
  <si>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</si>
  <si>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</si>
  <si>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</si>
  <si>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</si>
  <si>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</si>
  <si>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</si>
  <si>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</si>
  <si>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</si>
  <si>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</si>
  <si>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</si>
  <si>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</si>
  <si>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</si>
  <si>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</si>
  <si>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</si>
  <si>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</si>
  <si>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</si>
  <si>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</si>
  <si>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</si>
  <si>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</si>
  <si>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</si>
  <si>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</si>
  <si>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</si>
  <si>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</si>
  <si>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</si>
  <si>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</si>
  <si>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</si>
  <si>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</si>
  <si>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</si>
  <si>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</si>
  <si>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</si>
  <si>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</si>
  <si>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</si>
  <si>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</si>
  <si>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</si>
  <si>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</si>
  <si>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</si>
  <si>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</si>
  <si>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</si>
  <si>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</si>
  <si>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</si>
  <si>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</si>
  <si>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</si>
  <si>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</si>
  <si>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</si>
  <si>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</si>
  <si>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</si>
  <si>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</si>
  <si>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</si>
  <si>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</si>
  <si>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</si>
  <si>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</si>
  <si>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</si>
  <si>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</si>
  <si>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</si>
  <si>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</si>
  <si>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</si>
  <si>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</si>
  <si>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</si>
  <si>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</si>
  <si>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</si>
  <si>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pl. lent</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</si>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</sst>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42563</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13.75</v>
      </c>
      <c r="N5" s="324"/>
      <c r="O5" s="325" t="s">
        <v>217</v>
      </c>
      <c r="P5" s="326" t="n">
        <v>13.4375</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50</v>
      </c>
      <c r="C7" s="342" t="n">
        <v>50</v>
      </c>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13.375</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t="n">
        <v>0.5</v>
      </c>
      <c r="C9" s="359" t="n">
        <v>0.4</v>
      </c>
      <c r="D9" s="360"/>
      <c r="E9" s="360"/>
      <c r="F9" s="361" t="n">
        <f aca="false">($B9*$B$7+$C9*$C$7)/100</f>
        <v>0.45</v>
      </c>
      <c r="G9" s="362"/>
      <c r="H9" s="317"/>
      <c r="I9" s="281"/>
      <c r="J9" s="363"/>
      <c r="K9" s="364"/>
      <c r="L9" s="347"/>
      <c r="M9" s="365"/>
      <c r="N9" s="355" t="s">
        <v>3399</v>
      </c>
      <c r="O9" s="356" t="n">
        <f aca="false">IF(ISERROR(STDEVP(J23:J82))," ",STDEVP(J23:J82))</f>
        <v>2.49687304442977</v>
      </c>
      <c r="P9" s="356" t="n">
        <f aca="false">IF(ISERROR(STDEVP(K23:K82)),"  ",STDEVP(K23:K82))</f>
        <v>0.707106781186548</v>
      </c>
      <c r="Q9" s="357"/>
      <c r="R9" s="281"/>
      <c r="S9" s="281"/>
      <c r="T9" s="281"/>
      <c r="U9" s="281"/>
      <c r="V9" s="281"/>
      <c r="W9" s="295"/>
      <c r="X9" s="0"/>
      <c r="Y9" s="0"/>
      <c r="Z9" s="0"/>
    </row>
    <row r="10" customFormat="false" ht="12.75" hidden="false" customHeight="false" outlineLevel="0" collapsed="false">
      <c r="A10" s="314" t="s">
        <v>3400</v>
      </c>
      <c r="B10" s="366" t="s">
        <v>3401</v>
      </c>
      <c r="C10" s="367" t="s">
        <v>3401</v>
      </c>
      <c r="D10" s="360"/>
      <c r="E10" s="360"/>
      <c r="F10" s="361"/>
      <c r="G10" s="362"/>
      <c r="H10" s="330"/>
      <c r="I10" s="281"/>
      <c r="J10" s="368"/>
      <c r="K10" s="369" t="s">
        <v>3402</v>
      </c>
      <c r="L10" s="370"/>
      <c r="M10" s="371"/>
      <c r="N10" s="355" t="s">
        <v>3403</v>
      </c>
      <c r="O10" s="372" t="n">
        <f aca="false">MIN(J23:J82)</f>
        <v>9</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4</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4</v>
      </c>
      <c r="M13" s="381"/>
      <c r="N13" s="389" t="s">
        <v>3411</v>
      </c>
      <c r="O13" s="390" t="n">
        <f aca="false">COUNTIF(F23:F82,"&gt;0")</f>
        <v>9</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0.888888888888889</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0.655</v>
      </c>
      <c r="C20" s="433" t="n">
        <f aca="false">SUM(C23:C82)</f>
        <v>0.405</v>
      </c>
      <c r="D20" s="434"/>
      <c r="E20" s="435" t="s">
        <v>3424</v>
      </c>
      <c r="F20" s="436" t="n">
        <f aca="false">($B20*$B$7+$C20*$C$7)/100</f>
        <v>0.53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0.3275</v>
      </c>
      <c r="C21" s="444" t="n">
        <f aca="false">C20*C7/100</f>
        <v>0.2025</v>
      </c>
      <c r="D21" s="445" t="s">
        <v>3427</v>
      </c>
      <c r="E21" s="446"/>
      <c r="F21" s="447" t="n">
        <f aca="false">B21+C21</f>
        <v>0.53</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217</v>
      </c>
      <c r="B23" s="472" t="n">
        <v>0.25</v>
      </c>
      <c r="C23" s="473" t="n">
        <v>0.01</v>
      </c>
      <c r="D23" s="474" t="str">
        <f aca="false">IF(ISERROR(VLOOKUP($A23,'liste reference'!$A$6:$B$1174,2,0)),IF(ISERROR(VLOOKUP($A23,'liste reference'!$B$6:$B$1174,1,0)),"",VLOOKUP($A23,'liste reference'!$B$6:$B$1174,1,0)),VLOOKUP($A23,'liste reference'!$A$6:$B$1174,2,0))</f>
        <v>Lemanea sp.</v>
      </c>
      <c r="E23" s="475" t="e">
        <f aca="false">IF(D23="",0,VLOOKUP(D23,D$22:D22,1,0))</f>
        <v>#N/A</v>
      </c>
      <c r="F23" s="476" t="n">
        <f aca="false">IF(AND(OR(A23="",A23="!!!!!!"),B23="",C23=""),"",IF(OR(AND(B23="",C23=""),ISERROR(C23+B23)),"!!!",($B23*$B$7+$C23*$C$7)/100))</f>
        <v>0.13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15</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Lemanea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1159</v>
      </c>
      <c r="R23" s="484" t="n">
        <f aca="false">IF(ISTEXT(H23),"",(B23*$B$7/100)+(C23*$C$7/100))</f>
        <v>0.13</v>
      </c>
      <c r="S23" s="485" t="n">
        <f aca="false">IF(OR(ISTEXT(H23),R23=0),"",IF(R23&lt;0.1,1,IF(R23&lt;1,2,IF(R23&lt;10,3,IF(R23&lt;50,4,IF(R23&gt;=50,5,""))))))</f>
        <v>2</v>
      </c>
      <c r="T23" s="485" t="n">
        <f aca="false">IF(ISERROR(S23*J23),0,S23*J23)</f>
        <v>30</v>
      </c>
      <c r="U23" s="485" t="n">
        <f aca="false">IF(ISERROR(S23*J23*K23),0,S23*J23*K23)</f>
        <v>60</v>
      </c>
      <c r="V23" s="485" t="n">
        <f aca="false">IF(ISERROR(S23*K23),0,S23*K23)</f>
        <v>4</v>
      </c>
      <c r="W23" s="486"/>
      <c r="X23" s="487"/>
      <c r="Y23" s="488" t="str">
        <f aca="false">IF(AND(ISNUMBER(F23),OR(A23="",A23="!!!!!!")),"!!!!!!",IF(A23="new.cod","NEWCOD",IF(AND((Z23=""),ISTEXT(A23),A23&lt;&gt;"!!!!!!"),A23,IF(Z23="","",INDEX('liste reference'!$A$6:$A$1174,Z23)))))</f>
        <v>LEASPX</v>
      </c>
      <c r="Z23" s="470" t="n">
        <f aca="false">IF(ISERROR(MATCH(A23,'liste reference'!$A$6:$A$1174,0)),IF(ISERROR(MATCH(A23,'liste reference'!$B$6:$B$1174,0)),"",(MATCH(A23,'liste reference'!$B$6:$B$1174,0))),(MATCH(A23,'liste reference'!$A$6:$A$1174,0)))</f>
        <v>59</v>
      </c>
    </row>
    <row r="24" customFormat="false" ht="12.75" hidden="false" customHeight="false" outlineLevel="0" collapsed="false">
      <c r="A24" s="489" t="s">
        <v>291</v>
      </c>
      <c r="B24" s="490" t="n">
        <v>0.1</v>
      </c>
      <c r="C24" s="491" t="n">
        <v>0.3</v>
      </c>
      <c r="D24" s="492" t="str">
        <f aca="false">IF(ISERROR(VLOOKUP($A24,'liste reference'!$A$6:$B$1174,2,0)),IF(ISERROR(VLOOKUP($A24,'liste reference'!$B$6:$B$1174,1,0)),"",VLOOKUP($A24,'liste reference'!$B$6:$B$1174,1,0)),VLOOKUP($A24,'liste reference'!$A$6:$B$1174,2,0))</f>
        <v>Nostoc sp.</v>
      </c>
      <c r="E24" s="493" t="e">
        <f aca="false">IF(D24="",0,VLOOKUP(D24,D$22:D23,1,0))</f>
        <v>#N/A</v>
      </c>
      <c r="F24" s="494" t="n">
        <f aca="false">IF(AND(OR(A24="",A24="!!!!!!"),B24="",C24=""),"",IF(OR(AND(B24="",C24=""),ISERROR(C24+B24)),"!!!",($B24*$B$7+$C24*$C$7)/100))</f>
        <v>0.2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9</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Nostoc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1105</v>
      </c>
      <c r="R24" s="484" t="n">
        <f aca="false">IF(ISTEXT(H24),"",(B24*$B$7/100)+(C24*$C$7/100))</f>
        <v>0.2</v>
      </c>
      <c r="S24" s="485" t="n">
        <f aca="false">IF(OR(ISTEXT(H24),R24=0),"",IF(R24&lt;0.1,1,IF(R24&lt;1,2,IF(R24&lt;10,3,IF(R24&lt;50,4,IF(R24&gt;=50,5,""))))))</f>
        <v>2</v>
      </c>
      <c r="T24" s="485" t="n">
        <f aca="false">IF(ISERROR(S24*J24),0,S24*J24)</f>
        <v>18</v>
      </c>
      <c r="U24" s="485" t="n">
        <f aca="false">IF(ISERROR(S24*J24*K24),0,S24*J24*K24)</f>
        <v>18</v>
      </c>
      <c r="V24" s="501" t="n">
        <f aca="false">IF(ISERROR(S24*K24),0,S24*K24)</f>
        <v>2</v>
      </c>
      <c r="W24" s="502"/>
      <c r="X24" s="503"/>
      <c r="Y24" s="488" t="str">
        <f aca="false">IF(AND(ISNUMBER(F24),OR(A24="",A24="!!!!!!")),"!!!!!!",IF(A24="new.cod","NEWCOD",IF(AND((Z24=""),ISTEXT(A24),A24&lt;&gt;"!!!!!!"),A24,IF(Z24="","",INDEX('liste reference'!$A$6:$A$1174,Z24)))))</f>
        <v>NOSSPX</v>
      </c>
      <c r="Z24" s="470" t="n">
        <f aca="false">IF(ISERROR(MATCH(A24,'liste reference'!$A$6:$A$1174,0)),IF(ISERROR(MATCH(A24,'liste reference'!$B$6:$B$1174,0)),"",(MATCH(A24,'liste reference'!$B$6:$B$1174,0))),(MATCH(A24,'liste reference'!$A$6:$A$1174,0)))</f>
        <v>84</v>
      </c>
    </row>
    <row r="25" customFormat="false" ht="12.75" hidden="false" customHeight="false" outlineLevel="0" collapsed="false">
      <c r="A25" s="489" t="s">
        <v>309</v>
      </c>
      <c r="B25" s="490" t="n">
        <v>0.08</v>
      </c>
      <c r="C25" s="491" t="n">
        <v>0.05</v>
      </c>
      <c r="D25" s="492" t="str">
        <f aca="false">IF(ISERROR(VLOOKUP($A25,'liste reference'!$A$6:$B$1174,2,0)),IF(ISERROR(VLOOKUP($A25,'liste reference'!$B$6:$B$1174,1,0)),"",VLOOKUP($A25,'liste reference'!$B$6:$B$1174,1,0)),VLOOKUP($A25,'liste reference'!$A$6:$B$1174,2,0))</f>
        <v>Phormidium sp.</v>
      </c>
      <c r="E25" s="493" t="e">
        <f aca="false">IF(D25="",0,VLOOKUP(D25,D$22:D24,1,0))</f>
        <v>#N/A</v>
      </c>
      <c r="F25" s="494" t="n">
        <f aca="false">IF(AND(OR(A25="",A25="!!!!!!"),B25="",C25=""),"",IF(OR(AND(B25="",C25=""),ISERROR(C25+B25)),"!!!",($B25*$B$7+$C25*$C$7)/100))</f>
        <v>0.065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Phormidium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6414</v>
      </c>
      <c r="R25" s="484" t="n">
        <f aca="false">IF(ISTEXT(H25),"",(B25*$B$7/100)+(C25*$C$7/100))</f>
        <v>0.065</v>
      </c>
      <c r="S25" s="485" t="n">
        <f aca="false">IF(OR(ISTEXT(H25),R25=0),"",IF(R25&lt;0.1,1,IF(R25&lt;1,2,IF(R25&lt;10,3,IF(R25&lt;50,4,IF(R25&gt;=50,5,""))))))</f>
        <v>1</v>
      </c>
      <c r="T25" s="485" t="n">
        <f aca="false">IF(ISERROR(S25*J25),0,S25*J25)</f>
        <v>13</v>
      </c>
      <c r="U25" s="485" t="n">
        <f aca="false">IF(ISERROR(S25*J25*K25),0,S25*J25*K25)</f>
        <v>26</v>
      </c>
      <c r="V25" s="501" t="n">
        <f aca="false">IF(ISERROR(S25*K25),0,S25*K25)</f>
        <v>2</v>
      </c>
      <c r="W25" s="502"/>
      <c r="X25" s="503"/>
      <c r="Y25" s="488" t="str">
        <f aca="false">IF(AND(ISNUMBER(F25),OR(A25="",A25="!!!!!!")),"!!!!!!",IF(A25="new.cod","NEWCOD",IF(AND((Z25=""),ISTEXT(A25),A25&lt;&gt;"!!!!!!"),A25,IF(Z25="","",INDEX('liste reference'!$A$6:$A$1174,Z25)))))</f>
        <v>PHOSPX</v>
      </c>
      <c r="Z25" s="470" t="n">
        <f aca="false">IF(ISERROR(MATCH(A25,'liste reference'!$A$6:$A$1174,0)),IF(ISERROR(MATCH(A25,'liste reference'!$B$6:$B$1174,0)),"",(MATCH(A25,'liste reference'!$B$6:$B$1174,0))),(MATCH(A25,'liste reference'!$A$6:$A$1174,0)))</f>
        <v>88</v>
      </c>
    </row>
    <row r="26" customFormat="false" ht="12.75" hidden="false" customHeight="false" outlineLevel="0" collapsed="false">
      <c r="A26" s="489" t="s">
        <v>398</v>
      </c>
      <c r="B26" s="490" t="n">
        <v>0.005</v>
      </c>
      <c r="C26" s="491"/>
      <c r="D26" s="492" t="str">
        <f aca="false">IF(ISERROR(VLOOKUP($A26,'liste reference'!$A$6:$B$1174,2,0)),IF(ISERROR(VLOOKUP($A26,'liste reference'!$B$6:$B$1174,1,0)),"",VLOOKUP($A26,'liste reference'!$B$6:$B$1174,1,0)),VLOOKUP($A26,'liste reference'!$A$6:$B$1174,2,0))</f>
        <v>Zygnema sp.</v>
      </c>
      <c r="E26" s="493" t="e">
        <f aca="false">IF(D26="",0,VLOOKUP(D26,D$22:D25,1,0))</f>
        <v>#N/A</v>
      </c>
      <c r="F26" s="494" t="n">
        <f aca="false">IF(AND(OR(A26="",A26="!!!!!!"),B26="",C26=""),"",IF(OR(AND(B26="",C26=""),ISERROR(C26+B26)),"!!!",($B26*$B$7+$C26*$C$7)/100))</f>
        <v>0.0025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Zygnema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1148</v>
      </c>
      <c r="R26" s="484" t="n">
        <f aca="false">IF(ISTEXT(H26),"",(B26*$B$7/100)+(C26*$C$7/100))</f>
        <v>0.0025</v>
      </c>
      <c r="S26" s="485" t="n">
        <f aca="false">IF(OR(ISTEXT(H26),R26=0),"",IF(R26&lt;0.1,1,IF(R26&lt;1,2,IF(R26&lt;10,3,IF(R26&lt;50,4,IF(R26&gt;=50,5,""))))))</f>
        <v>1</v>
      </c>
      <c r="T26" s="485" t="n">
        <f aca="false">IF(ISERROR(S26*J26),0,S26*J26)</f>
        <v>13</v>
      </c>
      <c r="U26" s="485" t="n">
        <f aca="false">IF(ISERROR(S26*J26*K26),0,S26*J26*K26)</f>
        <v>39</v>
      </c>
      <c r="V26" s="501" t="n">
        <f aca="false">IF(ISERROR(S26*K26),0,S26*K26)</f>
        <v>3</v>
      </c>
      <c r="W26" s="502"/>
      <c r="X26" s="503"/>
      <c r="Y26" s="488" t="str">
        <f aca="false">IF(AND(ISNUMBER(F26),OR(A26="",A26="!!!!!!")),"!!!!!!",IF(A26="new.cod","NEWCOD",IF(AND((Z26=""),ISTEXT(A26),A26&lt;&gt;"!!!!!!"),A26,IF(Z26="","",INDEX('liste reference'!$A$6:$A$1174,Z26)))))</f>
        <v>ZYGSPX</v>
      </c>
      <c r="Z26" s="470" t="n">
        <f aca="false">IF(ISERROR(MATCH(A26,'liste reference'!$A$6:$A$1174,0)),IF(ISERROR(MATCH(A26,'liste reference'!$B$6:$B$1174,0)),"",(MATCH(A26,'liste reference'!$B$6:$B$1174,0))),(MATCH(A26,'liste reference'!$A$6:$A$1174,0)))</f>
        <v>119</v>
      </c>
    </row>
    <row r="27" customFormat="false" ht="12.75" hidden="false" customHeight="false" outlineLevel="0" collapsed="false">
      <c r="A27" s="489" t="s">
        <v>645</v>
      </c>
      <c r="B27" s="490" t="n">
        <v>0.005</v>
      </c>
      <c r="C27" s="491"/>
      <c r="D27" s="492" t="str">
        <f aca="false">IF(ISERROR(VLOOKUP($A27,'liste reference'!$A$6:$B$1174,2,0)),IF(ISERROR(VLOOKUP($A27,'liste reference'!$B$6:$B$1174,1,0)),"",VLOOKUP($A27,'liste reference'!$B$6:$B$1174,1,0)),VLOOKUP($A27,'liste reference'!$A$6:$B$1174,2,0))</f>
        <v>Brachythecium rivulare</v>
      </c>
      <c r="E27" s="493" t="e">
        <f aca="false">IF(D27="",0,VLOOKUP(D27,D$22:D26,1,0))</f>
        <v>#N/A</v>
      </c>
      <c r="F27" s="494" t="n">
        <f aca="false">IF(AND(OR(A27="",A27="!!!!!!"),B27="",C27=""),"",IF(OR(AND(B27="",C27=""),ISERROR(C27+B27)),"!!!",($B27*$B$7+$C27*$C$7)/100))</f>
        <v>0.0025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Brachythecium rivulare</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1260</v>
      </c>
      <c r="R27" s="484" t="n">
        <f aca="false">IF(ISTEXT(H27),"",(B27*$B$7/100)+(C27*$C$7/100))</f>
        <v>0.0025</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BRARIV</v>
      </c>
      <c r="Z27" s="470" t="n">
        <f aca="false">IF(ISERROR(MATCH(A27,'liste reference'!$A$6:$A$1174,0)),IF(ISERROR(MATCH(A27,'liste reference'!$B$6:$B$1174,0)),"",(MATCH(A27,'liste reference'!$B$6:$B$1174,0))),(MATCH(A27,'liste reference'!$A$6:$A$1174,0)))</f>
        <v>203</v>
      </c>
    </row>
    <row r="28" customFormat="false" ht="12.75" hidden="false" customHeight="false" outlineLevel="0" collapsed="false">
      <c r="A28" s="489" t="s">
        <v>723</v>
      </c>
      <c r="B28" s="490" t="n">
        <v>0.005</v>
      </c>
      <c r="C28" s="491" t="n">
        <v>0.005</v>
      </c>
      <c r="D28" s="492" t="str">
        <f aca="false">IF(ISERROR(VLOOKUP($A28,'liste reference'!$A$6:$B$1174,2,0)),IF(ISERROR(VLOOKUP($A28,'liste reference'!$B$6:$B$1174,1,0)),"",VLOOKUP($A28,'liste reference'!$B$6:$B$1174,1,0)),VLOOKUP($A28,'liste reference'!$A$6:$B$1174,2,0))</f>
        <v>Cratoneuron filicinum</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18</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Cratoneuron filicinum</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1233</v>
      </c>
      <c r="R28" s="484" t="n">
        <f aca="false">IF(ISTEXT(H28),"",(B28*$B$7/100)+(C28*$C$7/100))</f>
        <v>0.005</v>
      </c>
      <c r="S28" s="485" t="n">
        <f aca="false">IF(OR(ISTEXT(H28),R28=0),"",IF(R28&lt;0.1,1,IF(R28&lt;1,2,IF(R28&lt;10,3,IF(R28&lt;50,4,IF(R28&gt;=50,5,""))))))</f>
        <v>1</v>
      </c>
      <c r="T28" s="485" t="n">
        <f aca="false">IF(ISERROR(S28*J28),0,S28*J28)</f>
        <v>18</v>
      </c>
      <c r="U28" s="485" t="n">
        <f aca="false">IF(ISERROR(S28*J28*K28),0,S28*J28*K28)</f>
        <v>54</v>
      </c>
      <c r="V28" s="501" t="n">
        <f aca="false">IF(ISERROR(S28*K28),0,S28*K28)</f>
        <v>3</v>
      </c>
      <c r="W28" s="502"/>
      <c r="X28" s="503"/>
      <c r="Y28" s="488" t="str">
        <f aca="false">IF(AND(ISNUMBER(F28),OR(A28="",A28="!!!!!!")),"!!!!!!",IF(A28="new.cod","NEWCOD",IF(AND((Z28=""),ISTEXT(A28),A28&lt;&gt;"!!!!!!"),A28,IF(Z28="","",INDEX('liste reference'!$A$6:$A$1174,Z28)))))</f>
        <v>CRAFIL</v>
      </c>
      <c r="Z28" s="470" t="n">
        <f aca="false">IF(ISERROR(MATCH(A28,'liste reference'!$A$6:$A$1174,0)),IF(ISERROR(MATCH(A28,'liste reference'!$B$6:$B$1174,0)),"",(MATCH(A28,'liste reference'!$B$6:$B$1174,0))),(MATCH(A28,'liste reference'!$A$6:$A$1174,0)))</f>
        <v>227</v>
      </c>
    </row>
    <row r="29" customFormat="false" ht="12.75" hidden="false" customHeight="false" outlineLevel="0" collapsed="false">
      <c r="A29" s="489" t="s">
        <v>830</v>
      </c>
      <c r="B29" s="490"/>
      <c r="C29" s="491" t="n">
        <v>0.005</v>
      </c>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0.0025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0.0025</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1122</v>
      </c>
      <c r="B30" s="490" t="n">
        <v>0.2</v>
      </c>
      <c r="C30" s="491" t="n">
        <v>0.03</v>
      </c>
      <c r="D30" s="492" t="str">
        <f aca="false">IF(ISERROR(VLOOKUP($A30,'liste reference'!$A$6:$B$1174,2,0)),IF(ISERROR(VLOOKUP($A30,'liste reference'!$B$6:$B$1174,1,0)),"",VLOOKUP($A30,'liste reference'!$B$6:$B$1174,1,0)),VLOOKUP($A30,'liste reference'!$A$6:$B$1174,2,0))</f>
        <v>Rhynchostegium riparioides</v>
      </c>
      <c r="E30" s="493" t="e">
        <f aca="false">IF(D30="",0,VLOOKUP(D30,D$22:D29,1,0))</f>
        <v>#N/A</v>
      </c>
      <c r="F30" s="494" t="n">
        <f aca="false">IF(AND(OR(A30="",A30="!!!!!!"),B30="",C30=""),"",IF(OR(AND(B30="",C30=""),ISERROR(C30+B30)),"!!!",($B30*$B$7+$C30*$C$7)/100))</f>
        <v>0.115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Rhynchostegium riparioides</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31691</v>
      </c>
      <c r="R30" s="484" t="n">
        <f aca="false">IF(ISTEXT(H30),"",(B30*$B$7/100)+(C30*$C$7/100))</f>
        <v>0.115</v>
      </c>
      <c r="S30" s="485" t="n">
        <f aca="false">IF(OR(ISTEXT(H30),R30=0),"",IF(R30&lt;0.1,1,IF(R30&lt;1,2,IF(R30&lt;10,3,IF(R30&lt;50,4,IF(R30&gt;=50,5,""))))))</f>
        <v>2</v>
      </c>
      <c r="T30" s="485" t="n">
        <f aca="false">IF(ISERROR(S30*J30),0,S30*J30)</f>
        <v>24</v>
      </c>
      <c r="U30" s="485" t="n">
        <f aca="false">IF(ISERROR(S30*J30*K30),0,S30*J30*K30)</f>
        <v>24</v>
      </c>
      <c r="V30" s="501" t="n">
        <f aca="false">IF(ISERROR(S30*K30),0,S30*K30)</f>
        <v>2</v>
      </c>
      <c r="W30" s="502"/>
      <c r="X30" s="503"/>
      <c r="Y30" s="488" t="str">
        <f aca="false">IF(AND(ISNUMBER(F30),OR(A30="",A30="!!!!!!")),"!!!!!!",IF(A30="new.cod","NEWCOD",IF(AND((Z30=""),ISTEXT(A30),A30&lt;&gt;"!!!!!!"),A30,IF(Z30="","",INDEX('liste reference'!$A$6:$A$1174,Z30)))))</f>
        <v>RHYRIP</v>
      </c>
      <c r="Z30" s="470" t="n">
        <f aca="false">IF(ISERROR(MATCH(A30,'liste reference'!$A$6:$A$1174,0)),IF(ISERROR(MATCH(A30,'liste reference'!$B$6:$B$1174,0)),"",(MATCH(A30,'liste reference'!$B$6:$B$1174,0))),(MATCH(A30,'liste reference'!$A$6:$A$1174,0)))</f>
        <v>345</v>
      </c>
    </row>
    <row r="31" customFormat="false" ht="12.75" hidden="false" customHeight="false" outlineLevel="0" collapsed="false">
      <c r="A31" s="489" t="s">
        <v>1255</v>
      </c>
      <c r="B31" s="490" t="n">
        <v>0.01</v>
      </c>
      <c r="C31" s="491" t="n">
        <v>0.005</v>
      </c>
      <c r="D31" s="492" t="str">
        <f aca="false">IF(ISERROR(VLOOKUP($A31,'liste reference'!$A$6:$B$1174,2,0)),IF(ISERROR(VLOOKUP($A31,'liste reference'!$B$6:$B$1174,1,0)),"",VLOOKUP($A31,'liste reference'!$B$6:$B$1174,1,0)),VLOOKUP($A31,'liste reference'!$A$6:$B$1174,2,0))</f>
        <v>Equisetum arvense</v>
      </c>
      <c r="E31" s="493" t="e">
        <f aca="false">IF(D31="",0,VLOOKUP(D31,D$22:D30,1,0))</f>
        <v>#N/A</v>
      </c>
      <c r="F31" s="494" t="n">
        <f aca="false">IF(AND(OR(A31="",A31="!!!!!!"),B31="",C31=""),"",IF(OR(AND(B31="",C31=""),ISERROR(C31+B31)),"!!!",($B31*$B$7+$C31*$C$7)/100))</f>
        <v>0.0075</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arvense</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1384</v>
      </c>
      <c r="R31" s="484" t="n">
        <f aca="false">IF(ISTEXT(H31),"",(B31*$B$7/100)+(C31*$C$7/100))</f>
        <v>0.0075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EQUARV</v>
      </c>
      <c r="Z31" s="470" t="n">
        <f aca="false">IF(ISERROR(MATCH(A31,'liste reference'!$A$6:$A$1174,0)),IF(ISERROR(MATCH(A31,'liste reference'!$B$6:$B$1174,0)),"",(MATCH(A31,'liste reference'!$B$6:$B$1174,0))),(MATCH(A31,'liste reference'!$A$6:$A$1174,0)))</f>
        <v>385</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0.53</v>
      </c>
      <c r="G83" s="424"/>
      <c r="H83" s="424"/>
      <c r="I83" s="424"/>
      <c r="J83" s="424"/>
      <c r="K83" s="424"/>
      <c r="L83" s="424"/>
      <c r="M83" s="485"/>
      <c r="N83" s="485"/>
      <c r="O83" s="485"/>
      <c r="P83" s="485"/>
      <c r="Q83" s="485"/>
      <c r="R83" s="485"/>
      <c r="S83" s="485"/>
      <c r="T83" s="485"/>
      <c r="U83" s="485"/>
      <c r="V83" s="485" t="n">
        <f aca="false">SUM(V23:V82)</f>
        <v>20</v>
      </c>
      <c r="W83" s="485"/>
      <c r="X83" s="523"/>
      <c r="Y83" s="523"/>
      <c r="Z83" s="524"/>
    </row>
    <row r="84" customFormat="false" ht="12.75" hidden="true" customHeight="false" outlineLevel="0" collapsed="false">
      <c r="A84" s="518" t="str">
        <f aca="false">A3</f>
        <v>HERAULT</v>
      </c>
      <c r="B84" s="453" t="str">
        <f aca="false">C3</f>
        <v>HERAULT A VALLERAUGUE 2</v>
      </c>
      <c r="C84" s="525" t="str">
        <f aca="false">A4</f>
        <v>(Date)</v>
      </c>
      <c r="D84" s="526" t="n">
        <f aca="false">IF(OR(ISERROR(SUM($U$23:$U$82)/SUM($V$23:$V$82)),F7&lt;&gt;100),-1,SUM($U$23:$U$82)/SUM($V$23:$V$82))</f>
        <v>13.75</v>
      </c>
      <c r="E84" s="527" t="n">
        <f aca="false">O13</f>
        <v>9</v>
      </c>
      <c r="F84" s="453" t="n">
        <f aca="false">O14</f>
        <v>8</v>
      </c>
      <c r="G84" s="453" t="n">
        <f aca="false">O15</f>
        <v>2</v>
      </c>
      <c r="H84" s="453" t="n">
        <f aca="false">O16</f>
        <v>4</v>
      </c>
      <c r="I84" s="453" t="n">
        <f aca="false">O17</f>
        <v>2</v>
      </c>
      <c r="J84" s="528" t="n">
        <f aca="false">O8</f>
        <v>13.375</v>
      </c>
      <c r="K84" s="529" t="n">
        <f aca="false">O9</f>
        <v>2.49687304442977</v>
      </c>
      <c r="L84" s="530" t="n">
        <f aca="false">O10</f>
        <v>9</v>
      </c>
      <c r="M84" s="530" t="n">
        <f aca="false">O11</f>
        <v>18</v>
      </c>
      <c r="N84" s="529" t="n">
        <f aca="false">P8</f>
        <v>2</v>
      </c>
      <c r="O84" s="529" t="n">
        <f aca="false">P9</f>
        <v>0.707106781186548</v>
      </c>
      <c r="P84" s="530" t="n">
        <f aca="false">P10</f>
        <v>1</v>
      </c>
      <c r="Q84" s="530" t="n">
        <f aca="false">P11</f>
        <v>3</v>
      </c>
      <c r="R84" s="530" t="n">
        <f aca="false">F21</f>
        <v>0.53</v>
      </c>
      <c r="S84" s="530" t="n">
        <f aca="false">L11</f>
        <v>0</v>
      </c>
      <c r="T84" s="530" t="n">
        <f aca="false">L12</f>
        <v>4</v>
      </c>
      <c r="U84" s="530" t="n">
        <f aca="false">L13</f>
        <v>4</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30</v>
      </c>
      <c r="U87" s="281"/>
      <c r="V87" s="281"/>
    </row>
    <row r="88" customFormat="false" ht="12.75" hidden="true" customHeight="false" outlineLevel="0" collapsed="false">
      <c r="C88" s="534"/>
      <c r="D88" s="534"/>
      <c r="E88" s="534"/>
      <c r="R88" s="281" t="s">
        <v>3451</v>
      </c>
      <c r="S88" s="281"/>
      <c r="T88" s="536" t="n">
        <f aca="false">VLOOKUP($T$91,($A$23:$U$82),21,0)</f>
        <v>60</v>
      </c>
      <c r="U88" s="281"/>
      <c r="V88" s="281" t="n">
        <f aca="false">COUNTIF(V23:V82,T89)</f>
        <v>1</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13.4375</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LEASPX</v>
      </c>
      <c r="U91" s="281" t="n">
        <f aca="false">IF(ISERROR(MATCH($T$93,'liste reference'!$A$6:$A$1174,0)),MATCH($T$93,'liste reference'!$B$6:$B$1174,0),(MATCH($T$93,'liste reference'!$A$6:$A$1174,0)))</f>
        <v>59</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LEASPX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3389</v>
      </c>
      <c r="G24" s="8"/>
      <c r="H24" s="575" t="s">
        <v>3389</v>
      </c>
      <c r="I24" s="576"/>
    </row>
    <row r="25" customFormat="false" ht="15" hidden="false" customHeight="false" outlineLevel="0" collapsed="false">
      <c r="A25" s="563"/>
      <c r="B25" s="566" t="s">
        <v>1354</v>
      </c>
      <c r="C25" s="567"/>
      <c r="D25" s="568"/>
      <c r="F25" s="575" t="s">
        <v>3480</v>
      </c>
      <c r="G25" s="8"/>
      <c r="H25" s="575" t="s">
        <v>3480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3484</v>
      </c>
    </row>
    <row r="37" customFormat="false" ht="15" hidden="false" customHeight="false" outlineLevel="0" collapsed="false">
      <c r="A37" s="563"/>
      <c r="B37" s="566" t="s">
        <v>2979</v>
      </c>
      <c r="C37" s="567"/>
      <c r="D37" s="568"/>
      <c r="F37" s="581" t="s">
        <v>3485</v>
      </c>
    </row>
    <row r="38" customFormat="false" ht="15" hidden="false" customHeight="false" outlineLevel="0" collapsed="false">
      <c r="A38" s="563"/>
      <c r="B38" s="566" t="s">
        <v>2981</v>
      </c>
      <c r="C38" s="567"/>
      <c r="D38" s="568"/>
      <c r="F38" s="583" t="s">
        <v>3486</v>
      </c>
    </row>
    <row r="39" customFormat="false" ht="15" hidden="false" customHeight="false" outlineLevel="0" collapsed="false">
      <c r="A39" s="563"/>
      <c r="B39" s="566" t="s">
        <v>2983</v>
      </c>
      <c r="C39" s="567"/>
      <c r="D39" s="568"/>
      <c r="F39" s="583" t="s">
        <v>3401</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2017-02-03T14:55:22Z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