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Herault à Brissac" sheetId="6" state="visible" r:id="rId8"/>
    <sheet name="modele" sheetId="7" state="hidden" r:id="rId9"/>
    <sheet name="liste codes réf" sheetId="8" state="hidden" r:id="rId10"/>
  </sheets>
  <definedNames>
    <definedName function="false" hidden="false" localSheetId="5" name="_xlnm.Print_Area" vbProcedure="false">'Herault à Brissac'!$A$1:$O$82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'Herault à Brissac'!$A$23:$J$84</definedName>
    <definedName function="false" hidden="false" localSheetId="5" name="NOM" vbProcedure="false">'Herault à Brissac'!$H$1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<sst xmlns="http://schemas.openxmlformats.org/spreadsheetml/2006/main" count="7381" uniqueCount="3131">
  <si>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</si>
  <si>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</si>
  <si>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</si>
  <si>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</si>
  <si>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</si>
  <si>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</si>
  <si>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</si>
  <si>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</si>
  <si>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</si>
  <si>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</si>
  <si>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</si>
  <si>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</si>
  <si>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</si>
  <si>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</si>
  <si>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</si>
  <si>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</si>
  <si>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</si>
  <si>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</si>
  <si>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</si>
  <si>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</si>
  <si>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</si>
  <si>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</si>
  <si>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Ranunculus</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</si>
  <si>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</si>
  <si>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</si>
  <si>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</si>
  <si>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</si>
  <si>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</si>
  <si>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</si>
  <si>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</si>
  <si>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</si>
  <si>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</si>
  <si>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</si>
  <si>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</si>
  <si>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</si>
  <si>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</si>
  <si>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</si>
  <si>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</si>
  <si>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</si>
  <si>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</si>
  <si>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</si>
  <si>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</si>
  <si>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</si>
  <si>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</si>
  <si>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</si>
  <si>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</si>
  <si>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</si>
  <si>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</si>
  <si>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</si>
  <si>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</si>
  <si>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</si>
  <si>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</si>
  <si>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</si>
  <si>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</si>
  <si>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</si>
  <si>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</si>
  <si>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</si>
  <si>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</si>
  <si>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</si>
  <si>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</si>
  <si>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</si>
  <si>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</si>
  <si>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</si>
  <si>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</si>
  <si>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</si>
  <si>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</si>
  <si>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</si>
  <si>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</si>
  <si>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</si>
  <si>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</si>
  <si>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</si>
  <si>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</si>
  <si>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</si>
  <si>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</si>
  <si>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</si>
  <si>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</si>
  <si>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</si>
  <si>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</si>
  <si>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</si>
  <si>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</si>
  <si>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</si>
  <si>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</si>
  <si>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</si>
  <si>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</si>
  <si>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</si>
  <si>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</si>
  <si>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</si>
  <si>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</si>
  <si>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</si>
  <si>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</si>
  <si>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</si>
  <si>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</si>
  <si>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</si>
  <si>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</si>
  <si>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</si>
  <si>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</si>
  <si>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</si>
  <si>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</si>
  <si>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</si>
  <si>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</si>
  <si>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</si>
  <si>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</si>
  <si>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</si>
  <si>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</si>
  <si>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</si>
  <si>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</si>
  <si>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</si>
  <si>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</si>
  <si>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</si>
  <si>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</si>
  <si>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</si>
  <si>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</si>
  <si>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</si>
  <si>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</si>
  <si>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</si>
  <si>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</si>
  <si>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</si>
  <si>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</si>
  <si>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</si>
  <si>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</si>
  <si>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</si>
  <si>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</si>
  <si>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</si>
  <si>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</si>
  <si>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</si>
  <si>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</si>
  <si>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</si>
  <si>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</si>
  <si>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</si>
  <si>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</si>
  <si>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</si>
  <si>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</si>
  <si>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</si>
  <si>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</si>
  <si>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</si>
  <si>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</si>
  <si>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</si>
  <si>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</si>
  <si>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</si>
  <si>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</si>
  <si>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</si>
  <si>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</si>
  <si>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</si>
  <si>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</si>
  <si>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</si>
  <si>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</si>
  <si>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</si>
  <si>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</si>
  <si>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</si>
  <si>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</si>
  <si>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</si>
  <si>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</si>
  <si>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</si>
  <si>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</si>
  <si>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</si>
  <si>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</si>
  <si>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</si>
  <si>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</si>
  <si>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</si>
  <si>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</si>
  <si>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</si>
  <si>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</si>
  <si>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</si>
  <si>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</si>
  <si>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</si>
  <si>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</si>
  <si>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</si>
  <si>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</si>
  <si>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</si>
  <si>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</si>
  <si>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</si>
  <si>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</si>
  <si>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</si>
  <si>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</si>
  <si>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</si>
  <si>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</si>
  <si>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</si>
  <si>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</si>
  <si>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</si>
  <si>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</si>
  <si>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</si>
  <si>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</si>
  <si>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</si>
  <si>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</si>
  <si>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</si>
  <si>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</si>
  <si>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</si>
  <si>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</si>
  <si>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</si>
  <si>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</si>
  <si>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</si>
  <si>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</si>
  <si>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</si>
  <si>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</si>
  <si>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</si>
  <si>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</si>
  <si>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</si>
  <si>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</si>
  <si>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</si>
  <si>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</si>
  <si>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</si>
  <si>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</si>
  <si>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</si>
  <si>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</si>
  <si>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</si>
  <si>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</si>
  <si>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</si>
  <si>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</si>
  <si>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</si>
  <si>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</si>
  <si>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</si>
  <si>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</si>
  <si>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</si>
  <si>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</si>
  <si>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</si>
  <si>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</si>
  <si>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</si>
  <si>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</si>
  <si>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</si>
  <si>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</si>
  <si>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</si>
  <si>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</si>
  <si>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</si>
  <si>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</si>
  <si>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</si>
  <si>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</si>
  <si>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</si>
  <si>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</si>
  <si>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</si>
  <si>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</si>
  <si>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</si>
  <si>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</si>
  <si>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</si>
  <si>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</si>
  <si>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</si>
  <si>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</si>
  <si>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</si>
  <si>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</si>
  <si>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</si>
  <si>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</si>
  <si>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</si>
  <si>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</si>
  <si>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</si>
  <si>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</si>
  <si>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</si>
  <si>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</si>
  <si>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</si>
  <si>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</si>
  <si>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</si>
  <si>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</si>
  <si>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</si>
  <si>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</si>
  <si>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</si>
  <si>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</si>
  <si>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</si>
  <si>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</si>
  <si>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</si>
  <si>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</si>
  <si>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</si>
  <si>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</si>
  <si>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</si>
  <si>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</si>
  <si>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</si>
  <si>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</si>
  <si>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</si>
  <si>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</si>
  <si>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</si>
  <si>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</si>
  <si>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</si>
  <si>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</si>
  <si>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</si>
  <si>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</si>
  <si>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</si>
  <si>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</si>
  <si>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</si>
  <si>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</si>
  <si>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</si>
  <si>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</si>
  <si>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</si>
  <si>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</si>
  <si>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</si>
  <si>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</si>
  <si>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</si>
  <si>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</si>
  <si>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</si>
  <si>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</si>
  <si>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</si>
  <si>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</si>
  <si>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</si>
  <si>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</si>
  <si>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</si>
  <si>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</si>
  <si>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</si>
  <si>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</si>
  <si>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</si>
  <si>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</si>
  <si>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</si>
  <si>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</si>
  <si>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</si>
  <si>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</si>
  <si>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</si>
  <si>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</si>
  <si>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</si>
  <si>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</si>
  <si>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</si>
  <si>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</si>
  <si>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</si>
  <si>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</si>
  <si>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</si>
  <si>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</si>
  <si>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</si>
  <si>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</si>
  <si>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</si>
  <si>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</si>
  <si>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</si>
  <si>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</si>
  <si>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</si>
  <si>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</si>
  <si>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</si>
  <si>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</si>
  <si>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</si>
  <si>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</si>
  <si>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</si>
  <si>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</si>
  <si>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</si>
  <si>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</si>
  <si>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</si>
  <si>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</si>
  <si>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</si>
  <si>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</si>
  <si>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</si>
  <si>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</si>
  <si>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</si>
  <si>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</si>
  <si>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</si>
  <si>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</si>
  <si>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</si>
  <si>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</si>
  <si>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</si>
  <si>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</si>
  <si>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</si>
  <si>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</si>
  <si>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</si>
  <si>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</si>
  <si>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</si>
  <si>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</si>
  <si>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</si>
  <si>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</si>
  <si>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</si>
  <si>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</si>
  <si>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</si>
  <si>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</si>
  <si>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</si>
  <si>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</si>
  <si>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</si>
  <si>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</si>
  <si>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</si>
  <si>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</si>
  <si>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</si>
  <si>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</si>
  <si>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</si>
  <si>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</si>
  <si>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</si>
  <si>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</si>
  <si>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</si>
  <si>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</si>
  <si>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</si>
  <si>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</si>
  <si>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</si>
  <si>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</si>
  <si>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</si>
  <si>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</si>
  <si>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</si>
  <si>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</si>
  <si>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</si>
  <si>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</si>
  <si>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</si>
  <si>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</si>
  <si>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</si>
  <si>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</si>
  <si>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</si>
  <si>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</si>
  <si>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</si>
  <si>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</si>
  <si>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</si>
  <si>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</si>
  <si>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</si>
  <si>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</si>
  <si>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</si>
  <si>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</si>
  <si>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</si>
  <si>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</si>
  <si>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</si>
  <si>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</si>
  <si>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</si>
  <si>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</si>
  <si>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</si>
  <si>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</si>
  <si>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</si>
  <si>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</si>
  <si>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</si>
  <si>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</si>
  <si>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</si>
  <si>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</si>
  <si>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</si>
  <si>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</si>
  <si>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</si>
  <si>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</si>
  <si>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</si>
  <si>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</si>
  <si>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</si>
  <si>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</si>
  <si>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</si>
  <si>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</si>
  <si>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</si>
  <si>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</si>
  <si>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</si>
  <si>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</si>
  <si>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</si>
  <si>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</si>
  <si>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</si>
  <si>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</si>
  <si>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</si>
  <si>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</si>
  <si>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</si>
  <si>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</si>
  <si>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</si>
  <si>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</si>
  <si>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</si>
  <si>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</si>
  <si>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</si>
  <si>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</si>
  <si>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</si>
  <si>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</si>
  <si>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</si>
  <si>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</si>
  <si>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</si>
  <si>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</si>
  <si>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</si>
  <si>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</si>
  <si>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</si>
  <si>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</si>
  <si>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</si>
  <si>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</si>
  <si>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</si>
  <si>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</si>
  <si>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</si>
  <si>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</si>
  <si>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</si>
  <si>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</si>
  <si>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</si>
  <si>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</si>
  <si>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</si>
  <si>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</si>
  <si>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</si>
  <si>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</si>
  <si>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</si>
  <si>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</si>
  <si>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</si>
  <si>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</si>
  <si>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</si>
  <si>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</si>
  <si>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</si>
  <si>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</si>
  <si>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</si>
  <si>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</si>
  <si>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</si>
  <si>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</si>
  <si>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</si>
  <si>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</si>
  <si>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</si>
  <si>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</si>
  <si>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</si>
  <si>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</si>
  <si>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</si>
  <si>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</si>
  <si>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</si>
  <si>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</si>
  <si>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</si>
  <si>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</si>
  <si>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</si>
  <si>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</si>
  <si>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</si>
  <si>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</si>
  <si>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</si>
  <si>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</si>
  <si>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</si>
  <si>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</si>
  <si>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</si>
  <si>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</si>
  <si>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</si>
  <si>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</si>
  <si>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</si>
  <si>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</si>
  <si>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</si>
  <si>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</si>
  <si>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</si>
  <si>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</si>
  <si>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</si>
  <si>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</si>
  <si>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</si>
  <si>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</si>
  <si>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</si>
  <si>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</si>
  <si>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</si>
  <si>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</si>
  <si>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</si>
  <si>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</si>
  <si>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</si>
  <si>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</si>
  <si>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</si>
  <si>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</si>
  <si>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</si>
  <si>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</si>
  <si>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</si>
  <si>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</si>
  <si>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</si>
  <si>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</si>
  <si>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</si>
  <si>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</si>
  <si>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</si>
  <si>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</si>
  <si>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</si>
  <si>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</si>
  <si>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</si>
  <si>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</si>
  <si>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</si>
  <si>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</si>
  <si>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</si>
  <si>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</si>
  <si>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</si>
  <si>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</si>
  <si>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</si>
  <si>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</si>
  <si>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</si>
  <si>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</si>
  <si>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</si>
  <si>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</si>
  <si>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</si>
  <si>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</si>
  <si>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</si>
  <si>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</si>
  <si>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</si>
  <si>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</si>
  <si>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</si>
  <si>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</si>
  <si>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</si>
  <si>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</si>
  <si>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</si>
  <si>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</si>
  <si>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</si>
  <si>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</si>
  <si>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</si>
  <si>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</si>
  <si>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</si>
  <si>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</si>
  <si>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</si>
  <si>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</si>
  <si>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</si>
  <si>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</si>
  <si>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</si>
  <si>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</si>
  <si>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</si>
  <si>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</si>
  <si>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</si>
  <si>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</si>
  <si>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</si>
  <si>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</si>
  <si>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</si>
  <si>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</si>
  <si>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</si>
  <si>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</si>
  <si>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</si>
  <si>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</si>
  <si>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</si>
  <si>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</si>
  <si>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</si>
  <si>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</si>
  <si>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</si>
  <si>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</si>
  <si>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</si>
  <si>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</si>
  <si>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</si>
  <si>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</si>
  <si>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</si>
  <si>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</si>
  <si>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</si>
  <si>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</si>
  <si>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</si>
  <si>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</si>
  <si>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</si>
  <si>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</si>
  <si>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</si>
  <si>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</si>
  <si>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</si>
  <si>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</si>
  <si>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</si>
  <si>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</si>
  <si>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</si>
  <si>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</si>
  <si>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</si>
  <si>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</si>
  <si>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</si>
  <si>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</si>
  <si>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</si>
  <si>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</si>
  <si>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</si>
  <si>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</si>
  <si>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</si>
  <si>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</si>
  <si>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</si>
  <si>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</si>
  <si>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</si>
  <si>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</si>
  <si>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</si>
  <si>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</si>
  <si>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</si>
  <si>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</si>
  <si>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</si>
  <si>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</si>
  <si>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</si>
  <si>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</si>
  <si>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</si>
  <si>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</si>
  <si>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</si>
  <si>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</si>
  <si>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</si>
  <si>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</si>
  <si>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</si>
  <si>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</si>
  <si>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</si>
  <si>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</si>
  <si>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</si>
  <si>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</si>
  <si>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</si>
  <si>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</si>
  <si>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</si>
  <si>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</si>
  <si>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</si>
  <si>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</si>
  <si>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</si>
  <si>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</si>
  <si>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</si>
  <si>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</si>
  <si>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</si>
  <si>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</si>
  <si>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</si>
  <si>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</si>
  <si>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</si>
  <si>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</si>
  <si>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</si>
  <si>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</si>
  <si>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</si>
  <si>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</si>
  <si>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</si>
  <si>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</si>
  <si>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</si>
  <si>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</si>
  <si>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</si>
  <si>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</si>
  <si>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</si>
  <si>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</si>
  <si>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</si>
  <si>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</si>
  <si>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</si>
  <si>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</si>
  <si>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</si>
  <si>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</si>
  <si>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</si>
  <si>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</si>
  <si>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</si>
  <si>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</si>
  <si>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</si>
  <si>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</si>
  <si>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</si>
  <si>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</si>
  <si>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</si>
  <si>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</si>
  <si>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</si>
  <si>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</si>
  <si>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</si>
  <si>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</si>
  <si>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</si>
  <si>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</si>
  <si>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</si>
  <si>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</si>
  <si>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</si>
  <si>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</si>
  <si>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</si>
  <si>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</si>
  <si>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</si>
  <si>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</si>
  <si>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</si>
  <si>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</si>
  <si>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</si>
  <si>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</si>
  <si>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</si>
  <si>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</si>
  <si>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</si>
  <si>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</si>
  <si>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</si>
  <si>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</si>
  <si>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</si>
  <si>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</si>
  <si>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</si>
  <si>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</si>
  <si>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</si>
  <si>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</si>
  <si>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</si>
  <si>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</si>
  <si>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</si>
  <si>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</si>
  <si>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</si>
  <si>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</si>
  <si>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</si>
  <si>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</si>
  <si>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</si>
  <si>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</si>
  <si>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</si>
  <si>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</si>
  <si>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</si>
  <si>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</si>
  <si>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</si>
  <si>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</si>
  <si>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</si>
  <si>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</si>
  <si>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</si>
  <si>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</si>
  <si>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</si>
  <si>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</si>
  <si>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</si>
  <si>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</si>
  <si>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</si>
  <si>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</si>
  <si>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</si>
  <si>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</si>
  <si>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</si>
  <si>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</si>
  <si>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</si>
  <si>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</si>
  <si>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</si>
  <si>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</si>
  <si>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</si>
  <si>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</si>
  <si>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</si>
  <si>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</si>
  <si>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</si>
  <si>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</si>
  <si>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</si>
  <si>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</si>
  <si>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</si>
  <si>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</si>
  <si>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</si>
  <si>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</si>
  <si>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</si>
  <si>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</si>
  <si>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</si>
  <si>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</si>
  <si>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</si>
  <si>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</si>
  <si>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</si>
  <si>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</si>
  <si>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</si>
  <si>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</si>
  <si>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</si>
  <si>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</si>
  <si>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</si>
  <si>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</si>
  <si>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</si>
  <si>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</si>
  <si>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</si>
  <si>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</si>
  <si>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</si>
  <si>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</si>
  <si>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</si>
  <si>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</si>
  <si>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</si>
  <si>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</si>
  <si>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</si>
  <si>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</si>
  <si>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</si>
  <si>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</si>
  <si>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</si>
  <si>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</si>
  <si>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</si>
  <si>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</si>
  <si>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</si>
  <si>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</si>
  <si>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</si>
  <si>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</si>
  <si>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</si>
  <si>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</si>
  <si>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</si>
  <si>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</si>
  <si>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</si>
  <si>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</si>
  <si>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</si>
  <si>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</si>
  <si>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</si>
  <si>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</si>
  <si>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</si>
  <si>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</si>
  <si>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</si>
  <si>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</si>
  <si>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</si>
  <si>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</si>
  <si>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</si>
  <si>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</si>
  <si>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</si>
  <si>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</si>
  <si>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</si>
  <si>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</si>
  <si>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</si>
  <si>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</si>
  <si>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</si>
  <si>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</si>
  <si>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</si>
  <si>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</si>
  <si>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</si>
  <si>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</si>
  <si>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</si>
  <si>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</si>
  <si>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</si>
  <si>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</si>
  <si>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</si>
  <si>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</si>
  <si>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</si>
  <si>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</si>
  <si>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</si>
  <si>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</si>
  <si>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</si>
  <si>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</si>
  <si>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</si>
  <si>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</si>
  <si>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</si>
  <si>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</si>
  <si>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</si>
  <si>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</si>
  <si>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</si>
  <si>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</si>
  <si>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</si>
  <si>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</si>
  <si>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</si>
  <si>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</si>
  <si>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</si>
  <si>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</si>
  <si>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</si>
  <si>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</si>
  <si>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</si>
  <si>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</si>
  <si>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</si>
  <si>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</si>
  <si>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</si>
  <si>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</si>
  <si>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</si>
  <si>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</si>
  <si>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</si>
  <si>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</si>
  <si>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</si>
  <si>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</si>
  <si>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</si>
  <si>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</si>
  <si>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</si>
  <si>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</si>
  <si>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</si>
  <si>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</si>
  <si>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</si>
  <si>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</si>
  <si>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</si>
  <si>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</si>
  <si>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</si>
  <si>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</si>
  <si>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</si>
  <si>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</si>
  <si>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</si>
  <si>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</si>
  <si>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</si>
  <si>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</si>
  <si>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</si>
  <si>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</si>
  <si>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</si>
  <si>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</si>
  <si>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</si>
  <si>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</si>
  <si>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</si>
  <si>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</si>
  <si>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</si>
  <si>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</si>
  <si>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</si>
  <si>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</si>
  <si>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</si>
  <si>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</si>
  <si>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</si>
  <si>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</si>
  <si>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</si>
  <si>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</si>
  <si>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</si>
  <si>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</si>
  <si>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</si>
  <si>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</si>
  <si>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</si>
  <si>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</si>
  <si>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</si>
  <si>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</si>
  <si>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</si>
  <si>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</si>
  <si>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</si>
  <si>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</si>
  <si>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</si>
  <si>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</si>
  <si>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</si>
  <si>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</si>
  <si>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</si>
  <si>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</si>
  <si>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</si>
  <si>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</si>
  <si>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</si>
  <si>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</si>
  <si>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</si>
  <si>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</si>
  <si>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</si>
  <si>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</si>
  <si>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</si>
  <si>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</si>
  <si>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</si>
  <si>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</si>
  <si>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</si>
  <si>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</si>
  <si>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</si>
  <si>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</si>
  <si>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</si>
  <si>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</si>
  <si>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</si>
  <si>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</si>
  <si>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</si>
  <si>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</si>
  <si>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</si>
  <si>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</si>
  <si>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</si>
  <si>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</si>
  <si>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</si>
  <si>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</si>
  <si>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</si>
  <si>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</si>
  <si>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</si>
  <si>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</si>
  <si>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</si>
  <si>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</si>
  <si>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</si>
  <si>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</si>
  <si>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</si>
  <si>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</si>
  <si>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</si>
  <si>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</si>
  <si>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</si>
  <si>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</si>
  <si>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</si>
  <si>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</si>
  <si>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</si>
  <si>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</si>
  <si>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</si>
  <si>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</si>
  <si>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</si>
  <si>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</si>
  <si>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</si>
  <si>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</si>
  <si>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</si>
  <si>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</si>
  <si>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</si>
  <si>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</si>
  <si>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</si>
  <si>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</si>
  <si>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</si>
  <si>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</si>
  <si>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</si>
  <si>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</si>
  <si>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</si>
  <si>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</si>
  <si>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</si>
  <si>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</si>
  <si>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</si>
  <si>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</si>
  <si>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</si>
  <si>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</si>
  <si>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</si>
  <si>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</si>
  <si>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</si>
  <si>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</si>
  <si>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</si>
  <si>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</si>
  <si>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</si>
  <si>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</si>
  <si>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</si>
  <si>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</si>
  <si>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</si>
  <si>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</si>
  <si>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</si>
  <si>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</si>
  <si>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</si>
  <si>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</si>
  <si>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</si>
  <si>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</si>
  <si>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</si>
  <si>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</si>
  <si>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</si>
  <si>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</si>
  <si>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</si>
  <si>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</si>
  <si>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</si>
  <si>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</si>
  <si>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</si>
  <si>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</si>
  <si>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</si>
  <si>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</si>
  <si>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</si>
  <si>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</si>
  <si>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</si>
  <si>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</si>
  <si>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</si>
  <si>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</si>
  <si>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</si>
  <si>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</si>
  <si>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</si>
  <si>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</si>
  <si>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</si>
  <si>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</si>
  <si>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</si>
  <si>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</si>
  <si>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</si>
  <si>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</si>
  <si>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</si>
  <si>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</si>
  <si>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</si>
  <si>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</si>
  <si>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</si>
  <si>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</si>
  <si>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</si>
  <si>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</si>
  <si>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</si>
  <si>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</si>
  <si>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</si>
  <si>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</si>
  <si>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</si>
  <si>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</si>
  <si>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</si>
  <si>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</si>
  <si>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</si>
  <si>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</si>
  <si>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</si>
  <si>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</si>
  <si>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</si>
  <si>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</si>
  <si>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</si>
  <si>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</si>
  <si>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</si>
  <si>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</si>
  <si>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</si>
  <si>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</si>
  <si>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</si>
  <si>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</si>
  <si>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</si>
  <si>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</si>
  <si>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</si>
  <si>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</si>
  <si>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</si>
  <si>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</si>
  <si>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</si>
  <si>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</si>
  <si>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</si>
  <si>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</si>
  <si>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</si>
  <si>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</si>
  <si>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</si>
  <si>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</si>
  <si>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</si>
  <si>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</si>
  <si>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</si>
  <si>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</si>
  <si>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</si>
  <si>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</si>
  <si>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</si>
  <si>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</si>
  <si>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</si>
  <si>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</si>
  <si>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</si>
  <si>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</si>
  <si>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</si>
  <si>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</si>
  <si>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</si>
  <si>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</si>
  <si>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</si>
  <si>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</si>
  <si>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</si>
  <si>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</si>
  <si>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</si>
  <si>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</si>
  <si>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</si>
  <si>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</si>
  <si>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</si>
  <si>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</si>
  <si>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</si>
  <si>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</si>
  <si>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</si>
  <si>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</si>
  <si>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</si>
  <si>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</si>
  <si>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</si>
  <si>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</si>
  <si>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</si>
  <si>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</si>
  <si>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</si>
  <si>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</si>
  <si>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</si>
  <si>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</si>
  <si>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</si>
  <si>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</si>
  <si>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</si>
  <si>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</si>
  <si>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</si>
  <si>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</si>
  <si>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</si>
  <si>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</si>
  <si>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</si>
  <si>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</si>
  <si>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</si>
  <si>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</si>
  <si>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</si>
  <si>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</si>
  <si>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</si>
  <si>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</si>
  <si>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</si>
  <si>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</si>
  <si>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</si>
  <si>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</si>
  <si>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</si>
  <si>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</si>
  <si>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</si>
  <si>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</si>
  <si>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</si>
  <si>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</si>
  <si>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</si>
  <si>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</si>
  <si>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</si>
  <si>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</si>
  <si>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</si>
  <si>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</si>
  <si>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</si>
  <si>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</si>
  <si>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</si>
  <si>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</si>
  <si>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</si>
  <si>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</si>
  <si>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</si>
  <si>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</si>
  <si>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</si>
  <si>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</si>
  <si>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</si>
  <si>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</si>
  <si>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</si>
  <si>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</si>
  <si>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</si>
  <si>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</si>
  <si>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</si>
  <si>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</si>
  <si>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</si>
  <si>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</si>
  <si>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</si>
  <si>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</si>
  <si>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</si>
  <si>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</si>
  <si>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</si>
  <si>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</si>
  <si>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</si>
  <si>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</si>
  <si>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</si>
  <si>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</si>
  <si>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</si>
  <si>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</si>
  <si>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</si>
  <si>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</si>
  <si>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</si>
  <si>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</si>
  <si>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</si>
  <si>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</si>
  <si>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</si>
  <si>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</si>
  <si>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</si>
  <si>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</si>
  <si>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</si>
  <si>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</si>
  <si>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</si>
  <si>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</si>
  <si>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</si>
  <si>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</si>
  <si>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</si>
  <si>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</si>
  <si>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</si>
  <si>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</si>
  <si>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</si>
  <si>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</si>
  <si>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</si>
  <si>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</si>
  <si>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</si>
  <si>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</si>
  <si>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</si>
  <si>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</si>
  <si>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</si>
  <si>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</si>
  <si>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</si>
  <si>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</si>
  <si>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</si>
  <si>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</si>
  <si>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</si>
  <si>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</si>
  <si>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</si>
  <si>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</si>
  <si>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</si>
  <si>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</si>
  <si>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</si>
  <si>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</si>
  <si>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</si>
  <si>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</si>
  <si>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</si>
  <si>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</si>
  <si>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</si>
  <si>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</si>
  <si>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</si>
  <si>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</si>
  <si>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</si>
  <si>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</si>
  <si>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</si>
  <si>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</si>
  <si>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</si>
  <si>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</si>
  <si>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</si>
  <si>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</si>
  <si>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</si>
  <si>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</si>
  <si>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</si>
  <si>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</si>
  <si>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</si>
  <si>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</si>
  <si>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</si>
  <si>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</si>
  <si>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</si>
  <si>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</si>
  <si>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</si>
  <si>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</si>
  <si>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</si>
  <si>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</si>
  <si>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</si>
  <si>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</si>
  <si>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</si>
  <si>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</si>
  <si>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</si>
  <si>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</si>
  <si>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</si>
  <si>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</si>
  <si>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</si>
  <si>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</si>
  <si>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</si>
  <si>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</si>
  <si>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</si>
  <si>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</si>
  <si>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</si>
  <si>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</si>
  <si>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</si>
  <si>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</si>
  <si>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</si>
  <si>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</si>
  <si>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</si>
  <si>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</si>
  <si>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</si>
  <si>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</si>
  <si>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</si>
  <si>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</si>
  <si>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</si>
  <si>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</si>
  <si>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</si>
  <si>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</si>
  <si>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</si>
  <si>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</si>
  <si>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</si>
  <si>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</si>
  <si>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</si>
  <si>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</si>
  <si>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</si>
  <si>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</si>
  <si>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</si>
  <si>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</si>
  <si>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</si>
  <si>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</si>
  <si>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</si>
  <si>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</si>
  <si>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</si>
  <si>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</si>
  <si>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</si>
  <si>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</si>
  <si>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</si>
  <si>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</si>
  <si>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</si>
  <si>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</si>
  <si>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</si>
  <si>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</si>
  <si>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</si>
  <si>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</si>
  <si>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</si>
  <si>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</si>
  <si>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</si>
  <si>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</si>
  <si>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</si>
  <si>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</si>
  <si>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</si>
  <si>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</si>
  <si>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</si>
  <si>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</si>
  <si>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</si>
  <si>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</si>
  <si>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</si>
  <si>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</si>
  <si>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</si>
  <si>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</si>
  <si>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</si>
  <si>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</si>
  <si>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</si>
  <si>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</si>
  <si>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</si>
  <si>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</si>
  <si>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</si>
  <si>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</si>
  <si>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</si>
  <si>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</si>
  <si>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</si>
  <si>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</si>
  <si>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</si>
  <si>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</si>
  <si>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</si>
  <si>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</si>
  <si>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</si>
  <si>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</si>
  <si>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</si>
  <si>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</si>
  <si>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</si>
  <si>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</si>
  <si>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</si>
  <si>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</si>
  <si>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</si>
  <si>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</si>
  <si>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</si>
  <si>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</si>
  <si>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</si>
  <si>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</si>
  <si>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</si>
  <si>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</si>
  <si>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</si>
  <si>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</si>
  <si>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</si>
  <si>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</si>
  <si>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</si>
  <si>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</si>
  <si>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</si>
  <si>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</si>
  <si>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</si>
  <si>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</si>
  <si>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</si>
  <si>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</si>
  <si>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</si>
  <si>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</si>
  <si>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</si>
  <si>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</si>
  <si>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</si>
  <si>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</si>
  <si>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</si>
  <si>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</si>
  <si>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</si>
  <si>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</si>
  <si>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</si>
  <si>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</si>
  <si>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</si>
  <si>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</si>
  <si>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</si>
  <si>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</si>
  <si>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</si>
  <si>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</si>
  <si>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</si>
  <si>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</si>
  <si>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</si>
  <si>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</si>
  <si>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</si>
  <si>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</si>
  <si>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</si>
  <si>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</si>
  <si>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</si>
  <si>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</si>
  <si>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</si>
  <si>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</si>
  <si>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</si>
  <si>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</si>
  <si>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</si>
  <si>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</si>
  <si>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</si>
  <si>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</si>
  <si>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</si>
  <si>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</si>
  <si>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</si>
  <si>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</si>
  <si>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</si>
  <si>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</si>
  <si>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</si>
  <si>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</si>
  <si>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</si>
  <si>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</si>
  <si>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</si>
  <si>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</si>
  <si>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</si>
  <si>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</si>
  <si>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</si>
  <si>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</si>
  <si>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</si>
  <si>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</si>
  <si>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</si>
  <si>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</si>
  <si>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</si>
  <si>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</si>
  <si>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</si>
  <si>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</si>
  <si>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</si>
  <si>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</si>
  <si>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</si>
  <si>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</si>
  <si>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</si>
  <si>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</si>
  <si>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</si>
  <si>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</si>
  <si>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</si>
  <si>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</si>
  <si>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</si>
  <si>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</si>
  <si>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</si>
  <si>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</si>
  <si>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</si>
  <si>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</si>
  <si>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</si>
  <si>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</si>
  <si>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</si>
  <si>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</si>
  <si>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</si>
  <si>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</si>
  <si>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</si>
  <si>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</si>
  <si>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</si>
  <si>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</si>
  <si>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</si>
  <si>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</si>
  <si>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</si>
  <si>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</si>
  <si>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</si>
  <si>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</si>
  <si>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</si>
  <si>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</si>
  <si>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</si>
  <si>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</si>
  <si>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</si>
  <si>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</si>
  <si>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</si>
  <si>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</si>
  <si>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</si>
  <si>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</si>
  <si>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</si>
  <si>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</si>
  <si>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</si>
  <si>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</si>
  <si>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</si>
  <si>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</si>
  <si>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</si>
  <si>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</si>
  <si>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</si>
  <si>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</si>
  <si>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</si>
  <si>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</si>
  <si>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</si>
  <si>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</si>
  <si>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</si>
  <si>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</si>
  <si>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</si>
  <si>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</si>
  <si>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</si>
  <si>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</si>
  <si>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</si>
  <si>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</si>
  <si>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</si>
  <si>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</si>
  <si>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</si>
  <si>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</si>
  <si>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</si>
  <si>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</si>
  <si>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</si>
  <si>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</si>
  <si>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</si>
  <si>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</si>
  <si>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</si>
  <si>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</si>
  <si>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</si>
  <si>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</si>
  <si>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</si>
  <si>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</si>
  <si>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</si>
  <si>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</si>
  <si>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</si>
  <si>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</si>
  <si>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</si>
  <si>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</si>
  <si>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</si>
  <si>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</si>
  <si>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</si>
  <si>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</si>
  <si>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</si>
  <si>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</si>
  <si>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</si>
  <si>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</si>
  <si>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</si>
  <si>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</si>
  <si>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</si>
  <si>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</si>
  <si>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</si>
  <si>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</si>
  <si>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</si>
  <si>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</si>
  <si>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</si>
  <si>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</si>
  <si>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</si>
  <si>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</si>
  <si>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</si>
  <si>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</si>
  <si>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</si>
  <si>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</si>
  <si>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</si>
  <si>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</si>
  <si>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</si>
  <si>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</si>
  <si>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</si>
  <si>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</si>
  <si>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</si>
  <si>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</si>
  <si>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</si>
  <si>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</si>
  <si>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</si>
  <si>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</si>
  <si>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</si>
  <si>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</si>
  <si>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</si>
  <si>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</si>
  <si>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</si>
  <si>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</si>
  <si>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</si>
  <si>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</si>
  <si>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</si>
  <si>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</si>
  <si>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</si>
  <si>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</si>
  <si>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</si>
  <si>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</si>
  <si>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</si>
  <si>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</si>
  <si>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</si>
  <si>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</si>
  <si>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</si>
  <si>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</si>
  <si>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</si>
  <si>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</si>
  <si>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</si>
  <si>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</si>
  <si>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</si>
  <si>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</si>
  <si>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</si>
  <si>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</si>
  <si>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</si>
  <si>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</si>
  <si>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</si>
  <si>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</si>
  <si>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</si>
  <si>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</si>
  <si>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</si>
  <si>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</si>
  <si>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</si>
  <si>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</si>
  <si>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</si>
  <si>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</si>
  <si>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</si>
  <si>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</si>
  <si>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</si>
  <si>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</si>
  <si>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</si>
  <si>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</si>
  <si>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</si>
  <si>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</si>
  <si>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</si>
  <si>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</si>
  <si>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</si>
  <si>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</si>
  <si>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</si>
  <si>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</si>
  <si>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</si>
  <si>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</si>
  <si>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</si>
  <si>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</si>
  <si>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</si>
  <si>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</si>
  <si>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</si>
  <si>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</si>
  <si>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</si>
  <si>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</si>
  <si>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</si>
  <si>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</si>
  <si>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</si>
  <si>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</si>
  <si>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</si>
  <si>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</si>
  <si>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</si>
  <si>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</si>
  <si>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</si>
  <si>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</si>
  <si>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</si>
  <si>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</si>
  <si>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</si>
  <si>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</si>
  <si>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</si>
  <si>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</si>
  <si>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</si>
  <si>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</si>
  <si>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</si>
  <si>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</si>
  <si>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</si>
  <si>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</si>
  <si>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</si>
  <si>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</si>
  <si>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</si>
  <si>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</si>
  <si>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</si>
  <si>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</si>
  <si>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</si>
  <si>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</si>
  <si>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</si>
  <si>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</si>
  <si>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</si>
  <si>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</si>
  <si>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</si>
  <si>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</si>
  <si>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</si>
  <si>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</si>
  <si>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</si>
  <si>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</si>
  <si>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</si>
  <si>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</si>
  <si>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</si>
  <si>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</si>
  <si>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</si>
  <si>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</si>
  <si>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</si>
  <si>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</si>
  <si>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</si>
  <si>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</si>
  <si>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</si>
  <si>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</si>
  <si>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</si>
  <si>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</si>
  <si>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</si>
  <si>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</si>
  <si>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</si>
  <si>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</si>
  <si>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</si>
  <si>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</si>
  <si>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</si>
  <si>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</si>
  <si>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</si>
  <si>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</si>
  <si>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</si>
  <si>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</si>
  <si>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</si>
  <si>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</si>
  <si>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</si>
  <si>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</si>
  <si>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</si>
  <si>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</si>
  <si>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</si>
  <si>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</si>
  <si>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</si>
  <si>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</si>
  <si>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</si>
  <si>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</si>
  <si>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</si>
  <si>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</si>
  <si>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</si>
  <si>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</si>
  <si>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</si>
  <si>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</si>
  <si>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</si>
  <si>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</si>
  <si>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</si>
  <si>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</si>
  <si>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</si>
  <si>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</si>
  <si>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</si>
  <si>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</si>
  <si>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</si>
  <si>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</si>
  <si>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</si>
  <si>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</si>
  <si>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</si>
  <si>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</si>
  <si>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</si>
  <si>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</si>
  <si>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</si>
  <si>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</si>
  <si>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</si>
  <si>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</si>
  <si>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</si>
  <si>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</si>
  <si>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</si>
  <si>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</si>
  <si>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</si>
  <si>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</si>
  <si>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</si>
  <si>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</si>
  <si>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</si>
  <si>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</si>
  <si>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</si>
  <si>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</si>
  <si>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</si>
  <si>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</si>
  <si>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</si>
  <si>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</si>
  <si>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</si>
  <si>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</si>
  <si>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</si>
  <si>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</si>
  <si>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</si>
  <si>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</si>
  <si>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</si>
  <si>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</si>
  <si>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</si>
  <si>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</si>
  <si>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</si>
  <si>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</si>
  <si>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</si>
  <si>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</si>
  <si>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</si>
  <si>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</si>
  <si>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</si>
  <si>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</si>
  <si>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</si>
  <si>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</si>
  <si>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</si>
  <si>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</si>
  <si>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</si>
  <si>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</si>
  <si>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</si>
  <si>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</si>
  <si>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</si>
  <si>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</si>
  <si>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</si>
  <si>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</si>
  <si>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</si>
  <si>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</si>
  <si>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</si>
  <si>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</si>
  <si>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</si>
  <si>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</si>
  <si>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</si>
  <si>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</si>
  <si>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</si>
  <si>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</si>
  <si>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</si>
  <si>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</si>
  <si>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</si>
  <si>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</si>
  <si>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</si>
  <si>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</si>
  <si>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</si>
  <si>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</si>
  <si>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</si>
  <si>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</si>
  <si>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</si>
  <si>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</si>
  <si>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</si>
  <si>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</si>
  <si>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</si>
  <si>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</si>
  <si>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</si>
  <si>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</si>
  <si>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</si>
  <si>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</si>
  <si>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</si>
  <si>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</si>
  <si>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</si>
  <si>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</si>
  <si>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</si>
  <si>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</si>
  <si>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</si>
  <si>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</si>
  <si>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</si>
  <si>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</si>
  <si>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</si>
  <si>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</si>
  <si>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</si>
  <si>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</si>
  <si>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</si>
  <si>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</si>
  <si>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</si>
  <si>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</si>
  <si>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</si>
  <si>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</si>
  <si>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</si>
  <si>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</si>
  <si>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</si>
  <si>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</si>
  <si>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</si>
  <si>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</si>
  <si>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</si>
  <si>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</si>
  <si>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</si>
  <si>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</si>
  <si>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</si>
  <si>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</si>
  <si>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</si>
  <si>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</si>
  <si>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</si>
  <si>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</si>
  <si>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</si>
  <si>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</si>
  <si>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</si>
  <si>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</si>
  <si>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</si>
  <si>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</si>
  <si>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</si>
  <si>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</si>
  <si>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</si>
  <si>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</si>
  <si>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</si>
  <si>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</si>
  <si>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</si>
  <si>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</si>
  <si>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</si>
  <si>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</si>
  <si>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</si>
  <si>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</si>
  <si>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</si>
  <si>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</si>
  <si>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</si>
  <si>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</si>
  <si>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</si>
  <si>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</si>
  <si>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</si>
  <si>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</si>
  <si>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</si>
  <si>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</si>
  <si>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</si>
  <si>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</si>
  <si>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</si>
  <si>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</si>
  <si>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</si>
  <si>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</si>
  <si>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</si>
  <si>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</si>
  <si>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</si>
  <si>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</si>
  <si>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</si>
  <si>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</si>
  <si>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</si>
  <si>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</si>
  <si>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</si>
  <si>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</si>
  <si>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</si>
  <si>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</si>
  <si>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</si>
  <si>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</si>
  <si>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</si>
  <si>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</si>
  <si>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</si>
  <si>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</si>
  <si>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</si>
  <si>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</si>
  <si>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</si>
  <si>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</si>
  <si>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</si>
  <si>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</si>
  <si>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</si>
  <si>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</si>
  <si>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</si>
  <si>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</si>
  <si>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</si>
  <si>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</si>
  <si>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</si>
  <si>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</si>
  <si>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</si>
  <si>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</si>
  <si>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</si>
  <si>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</si>
  <si>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</si>
  <si>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</si>
  <si>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</si>
  <si>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</si>
  <si>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</si>
  <si>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</si>
  <si>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</si>
  <si>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</si>
  <si>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</si>
  <si>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</si>
  <si>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</si>
  <si>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</si>
  <si>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</si>
  <si>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</si>
  <si>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</si>
  <si>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</si>
  <si>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</si>
  <si>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</si>
  <si>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</si>
  <si>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</si>
  <si>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</si>
  <si>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</si>
  <si>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</si>
  <si>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</si>
  <si>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</si>
  <si>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</si>
  <si>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</si>
  <si>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</si>
  <si>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</si>
  <si>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</si>
  <si>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</si>
  <si>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</si>
  <si>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</si>
  <si>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</si>
  <si>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</si>
  <si>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</si>
  <si>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</si>
  <si>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</si>
  <si>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</si>
  <si>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</si>
  <si>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</si>
  <si>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</si>
  <si>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</si>
  <si>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</si>
  <si>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</si>
  <si>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</si>
  <si>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</si>
  <si>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</si>
  <si>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</si>
  <si>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</si>
  <si>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</si>
  <si>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</si>
  <si>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</si>
  <si>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</si>
  <si>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</si>
  <si>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</si>
  <si>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</si>
  <si>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</si>
  <si>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</si>
  <si>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</si>
  <si>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</si>
  <si>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</si>
  <si>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</si>
  <si>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</si>
  <si>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</si>
  <si>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</si>
  <si>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</si>
  <si>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</si>
  <si>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</si>
  <si>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</si>
  <si>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</si>
  <si>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</si>
  <si>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</si>
  <si>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</si>
  <si>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</si>
  <si>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</si>
  <si>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</si>
  <si>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</si>
  <si>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</si>
  <si>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</si>
  <si>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</si>
  <si>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</si>
  <si>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</si>
  <si>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</si>
  <si>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</si>
  <si>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</si>
  <si>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</si>
  <si>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</si>
  <si>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</si>
  <si>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</si>
  <si>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</si>
  <si>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</si>
  <si>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</si>
  <si>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</si>
  <si>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</si>
  <si>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</si>
  <si>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</si>
  <si>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</si>
  <si>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</si>
  <si>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</si>
  <si>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</si>
  <si>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</si>
  <si>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</si>
  <si>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</si>
  <si>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</si>
  <si>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</si>
  <si>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</si>
  <si>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</si>
  <si>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</si>
  <si>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</si>
  <si>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</si>
  <si>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</si>
  <si>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</si>
  <si>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</si>
  <si>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</si>
  <si>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</si>
  <si>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</si>
  <si>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</si>
  <si>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</si>
  <si>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</si>
  <si>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</si>
  <si>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</si>
  <si>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</si>
  <si>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</si>
  <si>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</si>
  <si>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</si>
  <si>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</si>
  <si>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</si>
  <si>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</si>
  <si>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</si>
  <si>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</si>
  <si>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</si>
  <si>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</si>
  <si>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</si>
  <si>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</si>
  <si>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</si>
  <si>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</si>
  <si>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</si>
  <si>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</si>
  <si>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</si>
  <si>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</si>
  <si>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</si>
  <si>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</si>
  <si>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</si>
  <si>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</si>
  <si>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</si>
  <si>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</si>
  <si>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</si>
  <si>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</si>
  <si>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</si>
  <si>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</si>
  <si>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</si>
  <si>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</si>
  <si>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</si>
  <si>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</si>
  <si>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</si>
  <si>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</si>
  <si>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</si>
  <si>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</si>
  <si>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</si>
  <si>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</si>
  <si>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</si>
  <si>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</si>
  <si>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</si>
  <si>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</si>
  <si>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</si>
  <si>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</si>
  <si>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</si>
  <si>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</si>
  <si>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</si>
  <si>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</si>
  <si>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</si>
  <si>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</si>
  <si>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</si>
  <si>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</si>
  <si>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</si>
  <si>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</si>
  <si>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</si>
  <si>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</si>
  <si>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</si>
  <si>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</si>
  <si>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</si>
  <si>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</si>
  <si>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</si>
  <si>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</si>
  <si>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</si>
  <si>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</si>
  <si>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</si>
  <si>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</si>
  <si>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</si>
  <si>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</si>
  <si>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</si>
  <si>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</si>
  <si>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</si>
  <si>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</si>
  <si>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</si>
  <si>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</si>
  <si>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</si>
  <si>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</si>
  <si>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</si>
  <si>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</si>
  <si>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</si>
  <si>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</si>
  <si>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</si>
  <si>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</si>
  <si>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</si>
  <si>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</si>
  <si>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</si>
  <si>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</si>
  <si>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</si>
  <si>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</si>
  <si>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</si>
  <si>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</si>
  <si>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</si>
  <si>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</si>
  <si>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</si>
  <si>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</si>
  <si>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</si>
  <si>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</si>
  <si>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</si>
  <si>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</si>
  <si>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</si>
  <si>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</si>
  <si>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</si>
  <si>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</si>
  <si>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</si>
  <si>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</si>
  <si>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</si>
  <si>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</si>
  <si>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</si>
  <si>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</si>
  <si>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</si>
  <si>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</si>
  <si>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</si>
  <si>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</si>
  <si>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</si>
  <si>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</si>
  <si>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</si>
  <si>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</si>
  <si>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</si>
  <si>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</si>
  <si>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</si>
  <si>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</si>
  <si>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</si>
  <si>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</si>
  <si>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</si>
  <si>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</si>
  <si>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</si>
  <si>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</si>
  <si>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</si>
  <si>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</si>
  <si>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</si>
  <si>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</si>
  <si>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</si>
  <si>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</si>
  <si>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</si>
  <si>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</si>
  <si>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</si>
  <si>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</si>
  <si>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</si>
  <si>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</si>
  <si>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</si>
  <si>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</si>
  <si>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</si>
  <si>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</si>
  <si>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</si>
  <si>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</si>
  <si>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</si>
  <si>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</si>
  <si>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</si>
  <si>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</si>
  <si>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</si>
  <si>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</si>
  <si>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</si>
  <si>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</si>
  <si>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</si>
  <si>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</si>
  <si>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</si>
  <si>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</si>
  <si>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</si>
  <si>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</si>
  <si>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</si>
  <si>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</si>
  <si>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</si>
  <si>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</si>
  <si>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</si>
  <si>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</si>
  <si>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</si>
  <si>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</si>
  <si>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</si>
  <si>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</si>
  <si>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</si>
  <si>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</si>
  <si>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</si>
  <si>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</si>
  <si>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</si>
  <si>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</si>
  <si>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</si>
  <si>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</si>
  <si>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</si>
  <si>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</si>
  <si>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</si>
  <si>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</si>
  <si>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</si>
  <si>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</si>
  <si>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</si>
  <si>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</si>
  <si>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</si>
  <si>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</si>
  <si>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</si>
  <si>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</si>
  <si>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</si>
  <si>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</si>
  <si>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</si>
  <si>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</si>
  <si>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</si>
  <si>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</si>
  <si>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</si>
  <si>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</si>
  <si>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</si>
  <si>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</si>
  <si>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</si>
  <si>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</si>
  <si>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</si>
  <si>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</si>
  <si>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</si>
  <si>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</si>
  <si>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</si>
  <si>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</si>
  <si>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</si>
  <si>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</si>
  <si>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</si>
  <si>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</si>
  <si>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</si>
  <si>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</si>
  <si>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</si>
  <si>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</si>
  <si>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</si>
  <si>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</si>
  <si>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</si>
  <si>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</si>
  <si>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</si>
  <si>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</si>
  <si>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</si>
  <si>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</si>
  <si>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</si>
  <si>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</si>
  <si>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</si>
  <si>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</si>
  <si>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</si>
  <si>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</si>
  <si>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</si>
  <si>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</si>
  <si>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</si>
  <si>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</si>
  <si>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</si>
  <si>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</si>
  <si>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</si>
  <si>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</si>
  <si>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</si>
  <si>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</si>
  <si>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</si>
  <si>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</si>
  <si>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</si>
  <si>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</si>
  <si>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</si>
  <si>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</si>
  <si>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</si>
  <si>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</si>
  <si>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</si>
  <si>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</si>
  <si>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</si>
  <si>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</si>
  <si>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</si>
  <si>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</si>
  <si>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</si>
  <si>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</si>
  <si>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</si>
  <si>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</si>
  <si>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</si>
  <si>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</si>
  <si>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</si>
  <si>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</si>
  <si>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</si>
  <si>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</si>
  <si>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</si>
  <si>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</si>
  <si>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</si>
  <si>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</si>
  <si>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</si>
  <si>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</si>
  <si>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</si>
  <si>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</si>
  <si>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</si>
  <si>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</si>
  <si>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</si>
  <si>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</si>
  <si>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</si>
  <si>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</si>
  <si>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</si>
  <si>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</si>
  <si>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</si>
  <si>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</si>
  <si>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</si>
  <si>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</si>
  <si>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</si>
  <si>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</si>
  <si>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</si>
  <si>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</si>
  <si>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</si>
  <si>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</si>
  <si>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</si>
  <si>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</si>
  <si>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</si>
  <si>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</si>
  <si>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</si>
  <si>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</si>
  <si>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</si>
  <si>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</si>
  <si>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</si>
  <si>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</si>
  <si>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</si>
  <si>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</si>
  <si>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</si>
  <si>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</si>
  <si>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</si>
  <si>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</si>
  <si>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</si>
  <si>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</si>
  <si>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</si>
  <si>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</si>
  <si>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</si>
  <si>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</si>
  <si>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</si>
  <si>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</si>
  <si>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</si>
  <si>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</si>
  <si>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</si>
  <si>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</si>
  <si>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</si>
  <si>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</si>
  <si>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</si>
  <si>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</si>
  <si>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</si>
  <si>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</si>
  <si>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</si>
  <si>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</si>
  <si>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</si>
  <si>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</si>
  <si>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</si>
  <si>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</si>
  <si>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</si>
  <si>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</si>
  <si>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</si>
  <si>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</si>
  <si>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</si>
  <si>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</si>
  <si>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</si>
  <si>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</si>
  <si>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</si>
  <si>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</si>
  <si>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</si>
  <si>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</si>
  <si>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</si>
  <si>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</si>
  <si>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</si>
  <si>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</si>
  <si>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</si>
  <si>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</si>
  <si>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</si>
  <si>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</si>
  <si>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</si>
  <si>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</si>
  <si>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</si>
  <si>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</si>
  <si>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</si>
  <si>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</si>
  <si>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</si>
  <si>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</si>
  <si>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</si>
  <si>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</si>
  <si>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</si>
  <si>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</si>
  <si>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</si>
  <si>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</si>
  <si>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</si>
  <si>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</si>
  <si>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</si>
  <si>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</si>
  <si>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</si>
  <si>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</si>
  <si>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</si>
  <si>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</si>
  <si>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</si>
  <si>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</si>
  <si>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</si>
  <si>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</si>
  <si>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</si>
  <si>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</si>
  <si>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</si>
  <si>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</si>
  <si>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</si>
  <si>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</si>
  <si>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</si>
  <si>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</si>
  <si>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</si>
  <si>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</si>
  <si>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</si>
  <si>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</si>
  <si>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</si>
  <si>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</si>
  <si>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</si>
  <si>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</si>
  <si>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</si>
  <si>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</si>
  <si>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</si>
  <si>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</si>
  <si>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</si>
  <si>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</si>
  <si>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</si>
  <si>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</si>
  <si>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</si>
  <si>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</si>
  <si>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</si>
  <si>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</si>
  <si>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</si>
  <si>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</si>
  <si>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</si>
  <si>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</si>
  <si>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</si>
  <si>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</si>
  <si>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</si>
  <si>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</si>
  <si>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</si>
  <si>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</si>
  <si>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</si>
  <si>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</si>
  <si>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</si>
  <si>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</si>
  <si>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</si>
  <si>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</si>
  <si>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</si>
  <si>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</si>
  <si>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</si>
  <si>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</si>
  <si>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</si>
  <si>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</si>
  <si>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</si>
  <si>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</si>
  <si>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</si>
  <si>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</si>
  <si>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</si>
  <si>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</si>
  <si>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</si>
  <si>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</si>
  <si>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</si>
  <si>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</si>
  <si>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</si>
  <si>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</si>
  <si>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</si>
  <si>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</si>
  <si>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</si>
  <si>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</si>
  <si>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</si>
  <si>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</si>
  <si>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</si>
  <si>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</si>
  <si>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</si>
  <si>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</si>
  <si>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</si>
  <si>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</si>
  <si>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</si>
  <si>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</si>
  <si>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</si>
  <si>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</si>
  <si>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</si>
  <si>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</si>
  <si>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</si>
  <si>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</si>
  <si>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</si>
  <si>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</si>
  <si>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</si>
  <si>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</si>
  <si>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</si>
  <si>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</si>
  <si>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</si>
  <si>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</si>
  <si>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</si>
  <si>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</si>
  <si>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</si>
  <si>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</si>
  <si>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</si>
  <si>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</si>
  <si>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</si>
  <si>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</si>
  <si>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</si>
  <si>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</si>
  <si>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</si>
  <si>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</si>
  <si>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</si>
  <si>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</si>
  <si>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</si>
  <si>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</si>
  <si>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</si>
  <si>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</si>
  <si>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</si>
  <si>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</si>
  <si>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</si>
  <si>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</si>
  <si>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</si>
  <si>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</si>
  <si>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</si>
  <si>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</si>
  <si>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</si>
  <si>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</si>
  <si>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</si>
  <si>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</si>
  <si>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</si>
  <si>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</si>
  <si>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</si>
  <si>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</si>
  <si>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</si>
  <si>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</si>
  <si>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</si>
  <si>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</si>
  <si>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</si>
  <si>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</si>
  <si>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</si>
  <si>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</si>
  <si>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</si>
  <si>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</si>
  <si>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</si>
  <si>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</si>
  <si>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</si>
  <si>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</si>
  <si>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</si>
  <si>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</si>
  <si>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</si>
  <si>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</si>
  <si>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</si>
  <si>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</si>
  <si>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</si>
  <si>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</si>
  <si>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</si>
  <si>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</si>
  <si>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</si>
  <si>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</si>
  <si>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</si>
  <si>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</si>
  <si>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</si>
  <si>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</si>
  <si>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</si>
  <si>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</si>
  <si>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</si>
  <si>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</si>
  <si>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</si>
  <si>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</si>
  <si>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</si>
  <si>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</si>
  <si>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</si>
  <si>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</si>
  <si>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</si>
  <si>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</si>
  <si>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</si>
  <si>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</si>
  <si>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</si>
  <si>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</si>
  <si>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</si>
  <si>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</si>
  <si>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</si>
  <si>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</si>
  <si>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</si>
  <si>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</si>
  <si>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</si>
  <si>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</si>
  <si>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</si>
  <si>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</si>
  <si>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</si>
  <si>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</si>
  <si>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</si>
  <si>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</si>
  <si>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</si>
  <si>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</si>
  <si>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</si>
  <si>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</si>
  <si>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</si>
  <si>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</si>
  <si>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</si>
  <si>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</si>
  <si>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</si>
  <si>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</si>
  <si>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</si>
  <si>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</si>
  <si>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</si>
  <si>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</si>
  <si>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</si>
  <si>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</si>
  <si>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</si>
  <si>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</si>
  <si>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</si>
  <si>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</si>
  <si>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</si>
  <si>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</si>
  <si>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</si>
  <si>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</si>
  <si>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</si>
  <si>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</si>
  <si>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</si>
  <si>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</si>
  <si>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</si>
  <si>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</si>
  <si>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</si>
  <si>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</si>
  <si>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</si>
  <si>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</si>
  <si>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</si>
  <si>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Hérault</t>
  </si>
  <si>
    <t xml:space="preserve">Brissac</t>
  </si>
  <si>
    <t xml:space="preserve">06182050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</si>
  <si>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</si>
  <si>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</si>
  <si>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</si>
  <si>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</si>
  <si>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</si>
  <si>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</si>
  <si>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</si>
  <si>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</si>
  <si>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</si>
  <si>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ch. lentique</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</si>
  <si>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</si>
  <si>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</si>
  <si>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</si>
  <si>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</si>
  <si>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</si>
  <si>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</si>
  <si>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</si>
  <si>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</si>
  <si>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</si>
  <si>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</si>
  <si>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</si>
  <si>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</si>
  <si>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</si>
  <si>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</si>
  <si>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</si>
  <si>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</si>
  <si>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</si>
  <si>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</si>
  <si>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</si>
  <si>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</si>
  <si>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</si>
  <si>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</si>
  <si>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</si>
  <si>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</si>
  <si>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</si>
  <si>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</si>
  <si>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</si>
  <si>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</si>
  <si>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</si>
  <si>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</si>
  <si>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</si>
  <si>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</si>
  <si>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</si>
  <si>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</si>
  <si>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</si>
  <si>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</si>
  <si>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</si>
  <si>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</si>
  <si>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</si>
  <si>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(9,88 %)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</si>
  <si>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</si>
  <si>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</si>
  <si>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</si>
  <si>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</si>
  <si>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</si>
  <si>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</si>
  <si>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</si>
  <si>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</si>
  <si>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</si>
  <si>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</si>
  <si>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</si>
  <si>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</si>
  <si>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</si>
  <si>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</si>
  <si>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</si>
  <si>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</si>
  <si>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</si>
  <si>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Ranunculus pen. pseudofluitans X R.trichophyllus</t>
  </si>
  <si>
    <t xml:space="preserve">Cf.</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</si>
  <si>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</si>
  <si>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</si>
  <si>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</si>
  <si>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</si>
  <si>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</si>
  <si>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</si>
  <si>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</si>
  <si>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</si>
  <si>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</si>
  <si>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</si>
  <si>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</si>
  <si>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</si>
  <si>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</si>
  <si>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</si>
  <si>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</si>
  <si>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</si>
  <si>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</si>
  <si>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</si>
  <si>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</si>
  <si>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</si>
  <si>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</si>
  <si>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</si>
  <si>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</si>
  <si>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</si>
  <si>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</si>
  <si>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</si>
  <si>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</si>
  <si>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</si>
  <si>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</si>
  <si>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</si>
  <si>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</si>
  <si>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</si>
  <si>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</si>
  <si>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</si>
  <si>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mouille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</si>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</sst>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1">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4">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9"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90" fillId="10" borderId="55" xfId="0" applyFont="true" applyBorder="true" applyAlignment="true" applyProtection="true">
      <alignment horizontal="center" vertical="bottom" textRotation="0" wrapText="false" indent="0" shrinkToFit="false"/>
      <protection locked="true" hidden="true"/>
    </xf>
    <xf numFmtId="172" fontId="27" fillId="11" borderId="56" xfId="0" applyFont="true" applyBorder="true" applyAlignment="true" applyProtection="true">
      <alignment horizontal="right" vertical="top" textRotation="0" wrapText="false" indent="0" shrinkToFit="false"/>
      <protection locked="true" hidden="true"/>
    </xf>
    <xf numFmtId="172" fontId="27" fillId="11" borderId="57" xfId="0" applyFont="true" applyBorder="true" applyAlignment="true" applyProtection="true">
      <alignment horizontal="left" vertical="top" textRotation="0" wrapText="false" indent="0" shrinkToFit="false"/>
      <protection locked="true" hidden="true"/>
    </xf>
    <xf numFmtId="172" fontId="59" fillId="11" borderId="49" xfId="0" applyFont="true" applyBorder="true" applyAlignment="true" applyProtection="true">
      <alignment horizontal="left" vertical="top" textRotation="0" wrapText="false" indent="0" shrinkToFit="false"/>
      <protection locked="true" hidden="true"/>
    </xf>
    <xf numFmtId="172" fontId="20" fillId="11"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91" fillId="11" borderId="60" xfId="0" applyFont="true" applyBorder="true" applyAlignment="true" applyProtection="true">
      <alignment horizontal="left" vertical="bottom" textRotation="0" wrapText="false" indent="0" shrinkToFit="false"/>
      <protection locked="true" hidden="true"/>
    </xf>
    <xf numFmtId="164" fontId="26" fillId="11" borderId="61" xfId="0" applyFont="true" applyBorder="true" applyAlignment="true" applyProtection="true">
      <alignment horizontal="right" vertical="top" textRotation="0" wrapText="false" indent="0" shrinkToFit="false"/>
      <protection locked="true" hidden="true"/>
    </xf>
    <xf numFmtId="164" fontId="92" fillId="11" borderId="62" xfId="0" applyFont="true" applyBorder="true" applyAlignment="true" applyProtection="true">
      <alignment horizontal="center" vertical="top" textRotation="0" wrapText="false" indent="0" shrinkToFit="false"/>
      <protection locked="true" hidden="true"/>
    </xf>
    <xf numFmtId="164" fontId="93" fillId="8" borderId="51" xfId="0" applyFont="true" applyBorder="true" applyAlignment="true" applyProtection="true">
      <alignment horizontal="center" vertical="top" textRotation="0" wrapText="false" indent="0" shrinkToFit="false"/>
      <protection locked="true" hidden="true"/>
    </xf>
    <xf numFmtId="164" fontId="94"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5"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6" fillId="10" borderId="25" xfId="0" applyFont="true" applyBorder="true" applyAlignment="true" applyProtection="true">
      <alignment horizontal="left" vertical="top" textRotation="0" wrapText="false" indent="0" shrinkToFit="false"/>
      <protection locked="true" hidden="true"/>
    </xf>
    <xf numFmtId="164" fontId="97" fillId="10" borderId="26" xfId="0" applyFont="true" applyBorder="true" applyAlignment="true" applyProtection="true">
      <alignment horizontal="left" vertical="top" textRotation="0" wrapText="false" indent="0" shrinkToFit="false"/>
      <protection locked="true" hidden="true"/>
    </xf>
    <xf numFmtId="164" fontId="97"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8" fillId="6" borderId="52" xfId="0" applyFont="true" applyBorder="true" applyAlignment="false" applyProtection="true">
      <alignment horizontal="general" vertical="bottom" textRotation="0" wrapText="false" indent="0" shrinkToFit="false"/>
      <protection locked="true" hidden="true"/>
    </xf>
    <xf numFmtId="172" fontId="20" fillId="12" borderId="43" xfId="0" applyFont="true" applyBorder="true" applyAlignment="true" applyProtection="true">
      <alignment horizontal="center" vertical="bottom" textRotation="0" wrapText="false" indent="0" shrinkToFit="false"/>
      <protection locked="false" hidden="false"/>
    </xf>
    <xf numFmtId="172" fontId="20" fillId="12"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2" borderId="68" xfId="0" applyFont="true" applyBorder="true" applyAlignment="true" applyProtection="true">
      <alignment horizontal="center" vertical="bottom" textRotation="0" wrapText="false" indent="0" shrinkToFit="false"/>
      <protection locked="false" hidden="false"/>
    </xf>
    <xf numFmtId="172" fontId="20" fillId="12"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2" borderId="72" xfId="0" applyFont="true" applyBorder="true" applyAlignment="true" applyProtection="true">
      <alignment horizontal="center" vertical="bottom" textRotation="0" wrapText="false" indent="0" shrinkToFit="false"/>
      <protection locked="false" hidden="false"/>
    </xf>
    <xf numFmtId="172" fontId="20" fillId="12"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6"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7"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2" borderId="76" xfId="0" applyFont="true" applyBorder="true" applyAlignment="true" applyProtection="true">
      <alignment horizontal="center" vertical="bottom" textRotation="0" wrapText="false" indent="0" shrinkToFit="false"/>
      <protection locked="false" hidden="false"/>
    </xf>
    <xf numFmtId="172" fontId="20" fillId="12"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2" borderId="79" xfId="0" applyFont="true" applyBorder="true" applyAlignment="true" applyProtection="true">
      <alignment horizontal="center" vertical="bottom" textRotation="0" wrapText="false" indent="0" shrinkToFit="false"/>
      <protection locked="false" hidden="false"/>
    </xf>
    <xf numFmtId="172" fontId="20" fillId="12"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7" borderId="39" xfId="0" applyFont="true" applyBorder="true" applyAlignment="false" applyProtection="true">
      <alignment horizontal="general" vertical="bottom" textRotation="0" wrapText="false" indent="0" shrinkToFit="false"/>
      <protection locked="true" hidden="true"/>
    </xf>
    <xf numFmtId="164" fontId="99"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100" fillId="9" borderId="58" xfId="0" applyFont="true" applyBorder="true" applyAlignment="false" applyProtection="true">
      <alignment horizontal="general" vertical="bottom" textRotation="0" wrapText="false" indent="0" shrinkToFit="false"/>
      <protection locked="true" hidden="true"/>
    </xf>
    <xf numFmtId="174" fontId="94"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4"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9"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101" fillId="6" borderId="0" xfId="0" applyFont="true" applyBorder="true" applyAlignment="false" applyProtection="true">
      <alignment horizontal="general" vertical="bottom" textRotation="0" wrapText="false" indent="0" shrinkToFit="false"/>
      <protection locked="true" hidden="true"/>
    </xf>
    <xf numFmtId="164" fontId="101" fillId="6" borderId="26" xfId="0" applyFont="true" applyBorder="true" applyAlignment="false" applyProtection="true">
      <alignment horizontal="general" vertical="bottom" textRotation="0" wrapText="false" indent="0" shrinkToFit="false"/>
      <protection locked="true" hidden="true"/>
    </xf>
    <xf numFmtId="164" fontId="101"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4" fillId="6" borderId="52" xfId="0" applyFont="true" applyBorder="true" applyAlignment="true" applyProtection="true">
      <alignment horizontal="center" vertical="bottom" textRotation="0" wrapText="false" indent="0" shrinkToFit="false"/>
      <protection locked="true" hidden="true"/>
    </xf>
    <xf numFmtId="175" fontId="94"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6"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4"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4" fillId="9" borderId="0" xfId="0" applyFont="true" applyBorder="fals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4" fillId="7" borderId="3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4" fillId="7" borderId="36"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3"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6"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7"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6"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3" borderId="22" xfId="0" applyFont="true" applyBorder="true" applyAlignment="false" applyProtection="false">
      <alignment horizontal="general" vertical="bottom" textRotation="0" wrapText="false" indent="0" shrinkToFit="false"/>
      <protection locked="true" hidden="false"/>
    </xf>
    <xf numFmtId="164" fontId="0" fillId="13" borderId="83" xfId="0" applyFont="false" applyBorder="true" applyAlignment="false" applyProtection="false">
      <alignment horizontal="general" vertical="bottom" textRotation="0" wrapText="false" indent="0" shrinkToFit="false"/>
      <protection locked="true" hidden="false"/>
    </xf>
    <xf numFmtId="164" fontId="0" fillId="13"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3"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6"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W14" activeCellId="0" sqref="W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41120</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11.6666666666667</v>
      </c>
      <c r="M5" s="293"/>
      <c r="N5" s="294"/>
      <c r="O5" s="295" t="n">
        <v>11.3809523809524</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45</v>
      </c>
      <c r="C7" s="307" t="n">
        <v>55</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10.1</v>
      </c>
      <c r="O8" s="323" t="n">
        <f aca="false">AVERAGE(J23:J82)</f>
        <v>1.6</v>
      </c>
      <c r="P8" s="324"/>
      <c r="Q8" s="250"/>
      <c r="R8" s="250"/>
      <c r="S8" s="250"/>
      <c r="T8" s="250"/>
      <c r="U8" s="250"/>
      <c r="V8" s="250"/>
      <c r="W8" s="262"/>
      <c r="X8" s="263"/>
    </row>
    <row r="9" customFormat="false" ht="13.5" hidden="false" customHeight="false" outlineLevel="0" collapsed="false">
      <c r="A9" s="283" t="s">
        <v>2636</v>
      </c>
      <c r="B9" s="325" t="n">
        <v>11.03</v>
      </c>
      <c r="C9" s="326" t="n">
        <v>8.94</v>
      </c>
      <c r="D9" s="327"/>
      <c r="E9" s="327"/>
      <c r="F9" s="328" t="n">
        <f aca="false">($B9*$B$7+$C9*$C$7)/100</f>
        <v>9.8805</v>
      </c>
      <c r="G9" s="329"/>
      <c r="H9" s="330"/>
      <c r="I9" s="331"/>
      <c r="J9" s="332"/>
      <c r="K9" s="313"/>
      <c r="L9" s="333"/>
      <c r="M9" s="322" t="s">
        <v>2637</v>
      </c>
      <c r="N9" s="323" t="n">
        <f aca="false">STDEV(I23:I82)</f>
        <v>4.41170691396616</v>
      </c>
      <c r="O9" s="323" t="n">
        <f aca="false">STDEV(J23:J82)</f>
        <v>0.820782681668123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18</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6</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8</v>
      </c>
      <c r="L13" s="355"/>
      <c r="M13" s="366" t="s">
        <v>2648</v>
      </c>
      <c r="N13" s="367" t="n">
        <f aca="false">COUNTIF(F23:F82,"&gt;0")</f>
        <v>21</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20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6</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10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11.035</v>
      </c>
      <c r="C20" s="405" t="n">
        <f aca="false">SUM(C23:C82)</f>
        <v>8.935</v>
      </c>
      <c r="D20" s="406"/>
      <c r="E20" s="407" t="s">
        <v>2660</v>
      </c>
      <c r="F20" s="408" t="n">
        <f aca="false">($B20*$B$7+$C20*$C$7)/100</f>
        <v>9.88</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4.96575</v>
      </c>
      <c r="C21" s="418" t="n">
        <f aca="false">C20*C7/100</f>
        <v>4.91425</v>
      </c>
      <c r="D21" s="350" t="str">
        <f aca="false">IF(F21=0,"",IF((ABS(F21-F19))&gt;(0.2*F21),CONCATENATE(" rec. par taxa (",F21," %) supérieur à 20 % !"),""))</f>
        <v> rec. par taxa (9,88 %) supérieur à 20 % !</v>
      </c>
      <c r="E21" s="419" t="str">
        <f aca="false">IF(F21=0,"",IF((ABS(F21-F19))&gt;(0.2*F21),CONCATENATE("ATTENTION : écart entre rec. par grp (",F19," %) ","et",""),""))</f>
        <v>ATTENTION : écart entre rec. par grp (0 %) et</v>
      </c>
      <c r="F21" s="420" t="n">
        <f aca="false">B21+C21</f>
        <v>9.88</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1.8</v>
      </c>
      <c r="C23" s="445" t="n">
        <v>0.6</v>
      </c>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1.14</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1.14</v>
      </c>
      <c r="R23" s="456" t="n">
        <f aca="false">IF(OR(ISTEXT(H23),Q23=0),"",IF(Q23&lt;0.1,1,IF(Q23&lt;1,2,IF(Q23&lt;10,3,IF(Q23&lt;50,4,IF(Q23&gt;=50,5,""))))))</f>
        <v>3</v>
      </c>
      <c r="S23" s="456" t="n">
        <f aca="false">IF(ISERROR(R23*I23),0,R23*I23)</f>
        <v>18</v>
      </c>
      <c r="T23" s="456" t="n">
        <f aca="false">IF(ISERROR(R23*I23*J23),0,R23*I23*J23)</f>
        <v>18</v>
      </c>
      <c r="U23" s="456" t="n">
        <f aca="false">IF(ISERROR(R23*J23),0,R23*J23)</f>
        <v>3</v>
      </c>
      <c r="V23" s="457" t="n">
        <v>3</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675</v>
      </c>
      <c r="B24" s="463" t="n">
        <v>0.3</v>
      </c>
      <c r="C24" s="464" t="n">
        <v>0.2</v>
      </c>
      <c r="D24" s="465" t="str">
        <f aca="false">IF(ISERROR(VLOOKUP($A24,'liste reference'!$A$7:$D$892,2,0)),IF(ISERROR(VLOOKUP($A24,'liste reference'!$B$7:$D$892,1,0)),"",VLOOKUP($A24,'liste reference'!$B$7:$D$892,1,0)),VLOOKUP($A24,'liste reference'!$A$7:$D$892,2,0))</f>
        <v>Diatoma sp.</v>
      </c>
      <c r="E24" s="465" t="e">
        <f aca="false">IF(D24="",0,VLOOKUP(D24,D$22:D23,1,0))</f>
        <v>#N/A</v>
      </c>
      <c r="F24" s="466" t="n">
        <f aca="false">($B24*$B$7+$C24*$C$7)/100</f>
        <v>0.245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12</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Diatoma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6627</v>
      </c>
      <c r="Q24" s="455" t="n">
        <f aca="false">IF(ISTEXT(H24),"",(B24*$B$7/100)+(C24*$C$7/100))</f>
        <v>0.245</v>
      </c>
      <c r="R24" s="456" t="n">
        <f aca="false">IF(OR(ISTEXT(H24),Q24=0),"",IF(Q24&lt;0.1,1,IF(Q24&lt;1,2,IF(Q24&lt;10,3,IF(Q24&lt;50,4,IF(Q24&gt;=50,5,""))))))</f>
        <v>2</v>
      </c>
      <c r="S24" s="456" t="n">
        <f aca="false">IF(ISERROR(R24*I24),0,R24*I24)</f>
        <v>24</v>
      </c>
      <c r="T24" s="456" t="n">
        <f aca="false">IF(ISERROR(R24*I24*J24),0,R24*I24*J24)</f>
        <v>48</v>
      </c>
      <c r="U24" s="470" t="n">
        <f aca="false">IF(ISERROR(R24*J24),0,R24*J24)</f>
        <v>4</v>
      </c>
      <c r="V24" s="457" t="n">
        <v>4</v>
      </c>
      <c r="W24" s="471"/>
      <c r="Y24" s="459" t="str">
        <f aca="false">IF(A24="new.cod","NEWCOD",IF(AND((Z24=""),ISTEXT(A24)),A24,IF(Z24="","",INDEX('liste reference'!$A$7:$A$892,Z24))))</f>
        <v>DIASPX</v>
      </c>
      <c r="Z24" s="250" t="n">
        <f aca="false">IF(ISERROR(MATCH(A24,'liste reference'!$A$7:$A$892,0)),IF(ISERROR(MATCH(A24,'liste reference'!$B$7:$B$892,0)),"",(MATCH(A24,'liste reference'!$B$7:$B$892,0))),(MATCH(A24,'liste reference'!$A$7:$A$892,0)))</f>
        <v>210</v>
      </c>
      <c r="AA24" s="460"/>
      <c r="AB24" s="461"/>
      <c r="AC24" s="461"/>
      <c r="BC24" s="250" t="n">
        <f aca="false">IF(A24="","",1)</f>
        <v>1</v>
      </c>
    </row>
    <row r="25" customFormat="false" ht="12.75" hidden="false" customHeight="false" outlineLevel="0" collapsed="false">
      <c r="A25" s="462" t="s">
        <v>1710</v>
      </c>
      <c r="B25" s="463"/>
      <c r="C25" s="464" t="n">
        <v>0.005</v>
      </c>
      <c r="D25" s="465" t="str">
        <f aca="false">IF(ISERROR(VLOOKUP($A25,'liste reference'!$A$7:$D$892,2,0)),IF(ISERROR(VLOOKUP($A25,'liste reference'!$B$7:$D$892,1,0)),"",VLOOKUP($A25,'liste reference'!$B$7:$D$892,1,0)),VLOOKUP($A25,'liste reference'!$A$7:$D$892,2,0))</f>
        <v>Phormidium sp.</v>
      </c>
      <c r="E25" s="465" t="e">
        <f aca="false">IF(D25="",0,VLOOKUP(D25,D$22:D24,1,0))</f>
        <v>#N/A</v>
      </c>
      <c r="F25" s="466" t="n">
        <f aca="false">($B25*$B$7+$C25*$C$7)/100</f>
        <v>0.00275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13</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Phormidium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6414</v>
      </c>
      <c r="Q25" s="455" t="n">
        <f aca="false">IF(ISTEXT(H25),"",(B25*$B$7/100)+(C25*$C$7/100))</f>
        <v>0.00275</v>
      </c>
      <c r="R25" s="456" t="n">
        <f aca="false">IF(OR(ISTEXT(H25),Q25=0),"",IF(Q25&lt;0.1,1,IF(Q25&lt;1,2,IF(Q25&lt;10,3,IF(Q25&lt;50,4,IF(Q25&gt;=50,5,""))))))</f>
        <v>1</v>
      </c>
      <c r="S25" s="456" t="n">
        <f aca="false">IF(ISERROR(R25*I25),0,R25*I25)</f>
        <v>13</v>
      </c>
      <c r="T25" s="456" t="n">
        <f aca="false">IF(ISERROR(R25*I25*J25),0,R25*I25*J25)</f>
        <v>26</v>
      </c>
      <c r="U25" s="470" t="n">
        <f aca="false">IF(ISERROR(R25*J25),0,R25*J25)</f>
        <v>2</v>
      </c>
      <c r="V25" s="457" t="n">
        <v>2</v>
      </c>
      <c r="W25" s="471"/>
      <c r="Y25" s="459" t="str">
        <f aca="false">IF(A25="new.cod","NEWCOD",IF(AND((Z25=""),ISTEXT(A25)),A25,IF(Z25="","",INDEX('liste reference'!$A$7:$A$892,Z25))))</f>
        <v>PHOSPX</v>
      </c>
      <c r="Z25" s="250" t="n">
        <f aca="false">IF(ISERROR(MATCH(A25,'liste reference'!$A$7:$A$892,0)),IF(ISERROR(MATCH(A25,'liste reference'!$B$7:$B$892,0)),"",(MATCH(A25,'liste reference'!$B$7:$B$892,0))),(MATCH(A25,'liste reference'!$A$7:$A$892,0)))</f>
        <v>570</v>
      </c>
      <c r="AA25" s="460"/>
      <c r="AB25" s="461"/>
      <c r="AC25" s="461"/>
      <c r="BC25" s="250" t="n">
        <f aca="false">IF(A25="","",1)</f>
        <v>1</v>
      </c>
    </row>
    <row r="26" customFormat="false" ht="12.75" hidden="false" customHeight="false" outlineLevel="0" collapsed="false">
      <c r="A26" s="462" t="s">
        <v>2401</v>
      </c>
      <c r="B26" s="463" t="n">
        <v>2.8</v>
      </c>
      <c r="C26" s="464" t="n">
        <v>5.1</v>
      </c>
      <c r="D26" s="465" t="str">
        <f aca="false">IF(ISERROR(VLOOKUP($A26,'liste reference'!$A$7:$D$892,2,0)),IF(ISERROR(VLOOKUP($A26,'liste reference'!$B$7:$D$892,1,0)),"",VLOOKUP($A26,'liste reference'!$B$7:$D$892,1,0)),VLOOKUP($A26,'liste reference'!$A$7:$D$892,2,0))</f>
        <v>Spirogyra sp.</v>
      </c>
      <c r="E26" s="465" t="e">
        <f aca="false">IF(D26="",0,VLOOKUP(D26,D$22:D25,1,0))</f>
        <v>#N/A</v>
      </c>
      <c r="F26" s="466" t="n">
        <f aca="false">($B26*$B$7+$C26*$C$7)/100</f>
        <v>4.065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10</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Spirogyra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1147</v>
      </c>
      <c r="Q26" s="455" t="n">
        <f aca="false">IF(ISTEXT(H26),"",(B26*$B$7/100)+(C26*$C$7/100))</f>
        <v>4.065</v>
      </c>
      <c r="R26" s="456" t="n">
        <f aca="false">IF(OR(ISTEXT(H26),Q26=0),"",IF(Q26&lt;0.1,1,IF(Q26&lt;1,2,IF(Q26&lt;10,3,IF(Q26&lt;50,4,IF(Q26&gt;=50,5,""))))))</f>
        <v>3</v>
      </c>
      <c r="S26" s="456" t="n">
        <f aca="false">IF(ISERROR(R26*I26),0,R26*I26)</f>
        <v>30</v>
      </c>
      <c r="T26" s="456" t="n">
        <f aca="false">IF(ISERROR(R26*I26*J26),0,R26*I26*J26)</f>
        <v>30</v>
      </c>
      <c r="U26" s="470" t="n">
        <f aca="false">IF(ISERROR(R26*J26),0,R26*J26)</f>
        <v>3</v>
      </c>
      <c r="V26" s="457" t="n">
        <v>3</v>
      </c>
      <c r="W26" s="471"/>
      <c r="X26" s="471"/>
      <c r="Y26" s="459" t="str">
        <f aca="false">IF(A26="new.cod","NEWCOD",IF(AND((Z26=""),ISTEXT(A26)),A26,IF(Z26="","",INDEX('liste reference'!$A$7:$A$892,Z26))))</f>
        <v>SPISPX</v>
      </c>
      <c r="Z26" s="250" t="n">
        <f aca="false">IF(ISERROR(MATCH(A26,'liste reference'!$A$7:$A$892,0)),IF(ISERROR(MATCH(A26,'liste reference'!$B$7:$B$892,0)),"",(MATCH(A26,'liste reference'!$B$7:$B$892,0))),(MATCH(A26,'liste reference'!$A$7:$A$892,0)))</f>
        <v>815</v>
      </c>
      <c r="AA26" s="460"/>
      <c r="AB26" s="461"/>
      <c r="AC26" s="461"/>
      <c r="BC26" s="250" t="n">
        <f aca="false">IF(A26="","",1)</f>
        <v>1</v>
      </c>
    </row>
    <row r="27" customFormat="false" ht="12.75" hidden="false" customHeight="false" outlineLevel="0" collapsed="false">
      <c r="A27" s="462" t="s">
        <v>2419</v>
      </c>
      <c r="B27" s="463" t="n">
        <v>0.005</v>
      </c>
      <c r="C27" s="464"/>
      <c r="D27" s="465" t="str">
        <f aca="false">IF(ISERROR(VLOOKUP($A27,'liste reference'!$A$7:$D$892,2,0)),IF(ISERROR(VLOOKUP($A27,'liste reference'!$B$7:$D$892,1,0)),"",VLOOKUP($A27,'liste reference'!$B$7:$D$892,1,0)),VLOOKUP($A27,'liste reference'!$A$7:$D$892,2,0))</f>
        <v>Stigeoclonium sp.</v>
      </c>
      <c r="E27" s="465" t="e">
        <f aca="false">IF(D27="",0,VLOOKUP(D27,D$22:D26,1,0))</f>
        <v>#N/A</v>
      </c>
      <c r="F27" s="466" t="n">
        <f aca="false">($B27*$B$7+$C27*$C$7)/100</f>
        <v>0.00225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Stigeoclonium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1119</v>
      </c>
      <c r="Q27" s="455" t="n">
        <f aca="false">IF(ISTEXT(H27),"",(B27*$B$7/100)+(C27*$C$7/100))</f>
        <v>0.00225</v>
      </c>
      <c r="R27" s="456" t="n">
        <f aca="false">IF(OR(ISTEXT(H27),Q27=0),"",IF(Q27&lt;0.1,1,IF(Q27&lt;1,2,IF(Q27&lt;10,3,IF(Q27&lt;50,4,IF(Q27&gt;=50,5,""))))))</f>
        <v>1</v>
      </c>
      <c r="S27" s="456" t="n">
        <f aca="false">IF(ISERROR(R27*I27),0,R27*I27)</f>
        <v>13</v>
      </c>
      <c r="T27" s="456" t="n">
        <f aca="false">IF(ISERROR(R27*I27*J27),0,R27*I27*J27)</f>
        <v>26</v>
      </c>
      <c r="U27" s="470" t="n">
        <f aca="false">IF(ISERROR(R27*J27),0,R27*J27)</f>
        <v>2</v>
      </c>
      <c r="V27" s="457" t="n">
        <v>2</v>
      </c>
      <c r="W27" s="471"/>
      <c r="Y27" s="459" t="str">
        <f aca="false">IF(A27="new.cod","NEWCOD",IF(AND((Z27=""),ISTEXT(A27)),A27,IF(Z27="","",INDEX('liste reference'!$A$7:$A$892,Z27))))</f>
        <v>STISPX</v>
      </c>
      <c r="Z27" s="250" t="n">
        <f aca="false">IF(ISERROR(MATCH(A27,'liste reference'!$A$7:$A$892,0)),IF(ISERROR(MATCH(A27,'liste reference'!$B$7:$B$892,0)),"",(MATCH(A27,'liste reference'!$B$7:$B$892,0))),(MATCH(A27,'liste reference'!$A$7:$A$892,0)))</f>
        <v>823</v>
      </c>
      <c r="AA27" s="460"/>
      <c r="AB27" s="461"/>
      <c r="AC27" s="461"/>
      <c r="BC27" s="250" t="n">
        <f aca="false">IF(A27="","",1)</f>
        <v>1</v>
      </c>
    </row>
    <row r="28" customFormat="false" ht="12.75" hidden="false" customHeight="false" outlineLevel="0" collapsed="false">
      <c r="A28" s="462" t="s">
        <v>2498</v>
      </c>
      <c r="B28" s="463" t="n">
        <v>0.6</v>
      </c>
      <c r="C28" s="464" t="n">
        <v>0.1</v>
      </c>
      <c r="D28" s="465" t="str">
        <f aca="false">IF(ISERROR(VLOOKUP($A28,'liste reference'!$A$7:$D$892,2,0)),IF(ISERROR(VLOOKUP($A28,'liste reference'!$B$7:$D$892,1,0)),"",VLOOKUP($A28,'liste reference'!$B$7:$D$892,1,0)),VLOOKUP($A28,'liste reference'!$A$7:$D$892,2,0))</f>
        <v>Ulothrix sp.</v>
      </c>
      <c r="E28" s="465" t="e">
        <f aca="false">IF(D28="",0,VLOOKUP(D28,D$22:D27,1,0))</f>
        <v>#N/A</v>
      </c>
      <c r="F28" s="466" t="n">
        <f aca="false">($B28*$B$7+$C28*$C$7)/100</f>
        <v>0.325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Ulothrix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1142</v>
      </c>
      <c r="Q28" s="455" t="n">
        <f aca="false">IF(ISTEXT(H28),"",(B28*$B$7/100)+(C28*$C$7/100))</f>
        <v>0.325</v>
      </c>
      <c r="R28" s="456" t="n">
        <f aca="false">IF(OR(ISTEXT(H28),Q28=0),"",IF(Q28&lt;0.1,1,IF(Q28&lt;1,2,IF(Q28&lt;10,3,IF(Q28&lt;50,4,IF(Q28&gt;=50,5,""))))))</f>
        <v>2</v>
      </c>
      <c r="S28" s="456" t="n">
        <f aca="false">IF(ISERROR(R28*I28),0,R28*I28)</f>
        <v>20</v>
      </c>
      <c r="T28" s="456" t="n">
        <f aca="false">IF(ISERROR(R28*I28*J28),0,R28*I28*J28)</f>
        <v>20</v>
      </c>
      <c r="U28" s="470" t="n">
        <f aca="false">IF(ISERROR(R28*J28),0,R28*J28)</f>
        <v>2</v>
      </c>
      <c r="V28" s="457" t="n">
        <v>2</v>
      </c>
      <c r="W28" s="471"/>
      <c r="Y28" s="459" t="str">
        <f aca="false">IF(A28="new.cod","NEWCOD",IF(AND((Z28=""),ISTEXT(A28)),A28,IF(Z28="","",INDEX('liste reference'!$A$7:$A$892,Z28))))</f>
        <v>ULOSPX</v>
      </c>
      <c r="Z28" s="250" t="n">
        <f aca="false">IF(ISERROR(MATCH(A28,'liste reference'!$A$7:$A$892,0)),IF(ISERROR(MATCH(A28,'liste reference'!$B$7:$B$892,0)),"",(MATCH(A28,'liste reference'!$B$7:$B$892,0))),(MATCH(A28,'liste reference'!$A$7:$A$892,0)))</f>
        <v>851</v>
      </c>
      <c r="AA28" s="460"/>
      <c r="AB28" s="461"/>
      <c r="AC28" s="461"/>
      <c r="BC28" s="250" t="n">
        <f aca="false">IF(A28="","",1)</f>
        <v>1</v>
      </c>
    </row>
    <row r="29" customFormat="false" ht="12.75" hidden="false" customHeight="false" outlineLevel="0" collapsed="false">
      <c r="A29" s="462" t="s">
        <v>118</v>
      </c>
      <c r="B29" s="463" t="n">
        <v>0.01</v>
      </c>
      <c r="C29" s="464" t="n">
        <v>0.005</v>
      </c>
      <c r="D29" s="465" t="str">
        <f aca="false">IF(ISERROR(VLOOKUP($A29,'liste reference'!$A$7:$D$892,2,0)),IF(ISERROR(VLOOKUP($A29,'liste reference'!$B$7:$D$892,1,0)),"",VLOOKUP($A29,'liste reference'!$B$7:$D$892,1,0)),VLOOKUP($A29,'liste reference'!$A$7:$D$892,2,0))</f>
        <v>Amblystegium fluviatile</v>
      </c>
      <c r="E29" s="465" t="e">
        <f aca="false">IF(D29="",0,VLOOKUP(D29,D$22:D28,1,0))</f>
        <v>#N/A</v>
      </c>
      <c r="F29" s="466" t="n">
        <f aca="false">($B29*$B$7+$C29*$C$7)/100</f>
        <v>0.00725</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11</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Amblystegium fluviatile</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1223</v>
      </c>
      <c r="Q29" s="455" t="n">
        <f aca="false">IF(ISTEXT(H29),"",(B29*$B$7/100)+(C29*$C$7/100))</f>
        <v>0.00725</v>
      </c>
      <c r="R29" s="456" t="n">
        <f aca="false">IF(OR(ISTEXT(H29),Q29=0),"",IF(Q29&lt;0.1,1,IF(Q29&lt;1,2,IF(Q29&lt;10,3,IF(Q29&lt;50,4,IF(Q29&gt;=50,5,""))))))</f>
        <v>1</v>
      </c>
      <c r="S29" s="456" t="n">
        <f aca="false">IF(ISERROR(R29*I29),0,R29*I29)</f>
        <v>11</v>
      </c>
      <c r="T29" s="456" t="n">
        <f aca="false">IF(ISERROR(R29*I29*J29),0,R29*I29*J29)</f>
        <v>22</v>
      </c>
      <c r="U29" s="470" t="n">
        <f aca="false">IF(ISERROR(R29*J29),0,R29*J29)</f>
        <v>2</v>
      </c>
      <c r="V29" s="457" t="n">
        <v>2</v>
      </c>
      <c r="W29" s="471"/>
      <c r="Y29" s="459" t="str">
        <f aca="false">IF(A29="new.cod","NEWCOD",IF(AND((Z29=""),ISTEXT(A29)),A29,IF(Z29="","",INDEX('liste reference'!$A$7:$A$892,Z29))))</f>
        <v>AMBFLU</v>
      </c>
      <c r="Z29" s="250" t="n">
        <f aca="false">IF(ISERROR(MATCH(A29,'liste reference'!$A$7:$A$892,0)),IF(ISERROR(MATCH(A29,'liste reference'!$B$7:$B$892,0)),"",(MATCH(A29,'liste reference'!$B$7:$B$892,0))),(MATCH(A29,'liste reference'!$A$7:$A$892,0)))</f>
        <v>23</v>
      </c>
      <c r="AA29" s="460"/>
      <c r="AB29" s="461"/>
      <c r="AC29" s="461"/>
      <c r="BC29" s="250" t="n">
        <f aca="false">IF(A29="","",1)</f>
        <v>1</v>
      </c>
    </row>
    <row r="30" customFormat="false" ht="12.75" hidden="false" customHeight="false" outlineLevel="0" collapsed="false">
      <c r="A30" s="462" t="s">
        <v>124</v>
      </c>
      <c r="B30" s="463" t="n">
        <v>0.03</v>
      </c>
      <c r="C30" s="464" t="n">
        <v>0.01</v>
      </c>
      <c r="D30" s="465" t="str">
        <f aca="false">IF(ISERROR(VLOOKUP($A30,'liste reference'!$A$7:$D$892,2,0)),IF(ISERROR(VLOOKUP($A30,'liste reference'!$B$7:$D$892,1,0)),"",VLOOKUP($A30,'liste reference'!$B$7:$D$892,1,0)),VLOOKUP($A30,'liste reference'!$A$7:$D$892,2,0))</f>
        <v>Amblystegium riparium</v>
      </c>
      <c r="E30" s="465" t="e">
        <f aca="false">IF(D30="",0,VLOOKUP(D30,D$22:D29,1,0))</f>
        <v>#N/A</v>
      </c>
      <c r="F30" s="466" t="n">
        <f aca="false">($B30*$B$7+$C30*$C$7)/100</f>
        <v>0.019</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5</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Amblystegium riparium</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1219</v>
      </c>
      <c r="Q30" s="455" t="n">
        <f aca="false">IF(ISTEXT(H30),"",(B30*$B$7/100)+(C30*$C$7/100))</f>
        <v>0.019</v>
      </c>
      <c r="R30" s="456" t="n">
        <f aca="false">IF(OR(ISTEXT(H30),Q30=0),"",IF(Q30&lt;0.1,1,IF(Q30&lt;1,2,IF(Q30&lt;10,3,IF(Q30&lt;50,4,IF(Q30&gt;=50,5,""))))))</f>
        <v>1</v>
      </c>
      <c r="S30" s="456" t="n">
        <f aca="false">IF(ISERROR(R30*I30),0,R30*I30)</f>
        <v>5</v>
      </c>
      <c r="T30" s="456" t="n">
        <f aca="false">IF(ISERROR(R30*I30*J30),0,R30*I30*J30)</f>
        <v>10</v>
      </c>
      <c r="U30" s="470" t="n">
        <f aca="false">IF(ISERROR(R30*J30),0,R30*J30)</f>
        <v>2</v>
      </c>
      <c r="V30" s="457" t="n">
        <v>2</v>
      </c>
      <c r="W30" s="471"/>
      <c r="Y30" s="459" t="str">
        <f aca="false">IF(A30="new.cod","NEWCOD",IF(AND((Z30=""),ISTEXT(A30)),A30,IF(Z30="","",INDEX('liste reference'!$A$7:$A$892,Z30))))</f>
        <v>AMBRIP</v>
      </c>
      <c r="Z30" s="250" t="n">
        <f aca="false">IF(ISERROR(MATCH(A30,'liste reference'!$A$7:$A$892,0)),IF(ISERROR(MATCH(A30,'liste reference'!$B$7:$B$892,0)),"",(MATCH(A30,'liste reference'!$B$7:$B$892,0))),(MATCH(A30,'liste reference'!$A$7:$A$892,0)))</f>
        <v>24</v>
      </c>
      <c r="AA30" s="460"/>
      <c r="AB30" s="461"/>
      <c r="AC30" s="461"/>
      <c r="BC30" s="250" t="n">
        <f aca="false">IF(A30="","",1)</f>
        <v>1</v>
      </c>
    </row>
    <row r="31" customFormat="false" ht="12.75" hidden="false" customHeight="false" outlineLevel="0" collapsed="false">
      <c r="A31" s="462" t="s">
        <v>569</v>
      </c>
      <c r="B31" s="463" t="n">
        <v>2.5</v>
      </c>
      <c r="C31" s="464" t="n">
        <v>1.3</v>
      </c>
      <c r="D31" s="465" t="str">
        <f aca="false">IF(ISERROR(VLOOKUP($A31,'liste reference'!$A$7:$D$892,2,0)),IF(ISERROR(VLOOKUP($A31,'liste reference'!$B$7:$D$892,1,0)),"",VLOOKUP($A31,'liste reference'!$B$7:$D$892,1,0)),VLOOKUP($A31,'liste reference'!$A$7:$D$892,2,0))</f>
        <v>Cinclidotus danubicus</v>
      </c>
      <c r="E31" s="465" t="e">
        <f aca="false">IF(D31="",0,VLOOKUP(D31,D$22:D30,1,0))</f>
        <v>#N/A</v>
      </c>
      <c r="F31" s="466" t="n">
        <f aca="false">($B31*$B$7+$C31*$C$7)/100</f>
        <v>1.84</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13</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Cinclidotus danubicus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1319</v>
      </c>
      <c r="Q31" s="455" t="n">
        <f aca="false">IF(ISTEXT(H31),"",(B31*$B$7/100)+(C31*$C$7/100))</f>
        <v>1.84</v>
      </c>
      <c r="R31" s="456" t="n">
        <f aca="false">IF(OR(ISTEXT(H31),Q31=0),"",IF(Q31&lt;0.1,1,IF(Q31&lt;1,2,IF(Q31&lt;10,3,IF(Q31&lt;50,4,IF(Q31&gt;=50,5,""))))))</f>
        <v>3</v>
      </c>
      <c r="S31" s="456" t="n">
        <f aca="false">IF(ISERROR(R31*I31),0,R31*I31)</f>
        <v>39</v>
      </c>
      <c r="T31" s="456" t="n">
        <f aca="false">IF(ISERROR(R31*I31*J31),0,R31*I31*J31)</f>
        <v>117</v>
      </c>
      <c r="U31" s="470" t="n">
        <f aca="false">IF(ISERROR(R31*J31),0,R31*J31)</f>
        <v>9</v>
      </c>
      <c r="V31" s="457" t="n">
        <v>9</v>
      </c>
      <c r="W31" s="471"/>
      <c r="Y31" s="459" t="str">
        <f aca="false">IF(A31="new.cod","NEWCOD",IF(AND((Z31=""),ISTEXT(A31)),A31,IF(Z31="","",INDEX('liste reference'!$A$7:$A$892,Z31))))</f>
        <v>CINDAN</v>
      </c>
      <c r="Z31" s="250" t="n">
        <f aca="false">IF(ISERROR(MATCH(A31,'liste reference'!$A$7:$A$892,0)),IF(ISERROR(MATCH(A31,'liste reference'!$B$7:$B$892,0)),"",(MATCH(A31,'liste reference'!$B$7:$B$892,0))),(MATCH(A31,'liste reference'!$A$7:$A$892,0)))</f>
        <v>174</v>
      </c>
      <c r="AA31" s="460"/>
      <c r="AB31" s="461"/>
      <c r="AC31" s="461"/>
      <c r="BC31" s="250" t="n">
        <f aca="false">IF(A31="","",1)</f>
        <v>1</v>
      </c>
    </row>
    <row r="32" customFormat="false" ht="12.75" hidden="false" customHeight="false" outlineLevel="0" collapsed="false">
      <c r="A32" s="462" t="s">
        <v>580</v>
      </c>
      <c r="B32" s="463" t="n">
        <v>2.5</v>
      </c>
      <c r="C32" s="464" t="n">
        <v>1.5</v>
      </c>
      <c r="D32" s="465" t="str">
        <f aca="false">IF(ISERROR(VLOOKUP($A32,'liste reference'!$A$7:$D$892,2,0)),IF(ISERROR(VLOOKUP($A32,'liste reference'!$B$7:$D$892,1,0)),"",VLOOKUP($A32,'liste reference'!$B$7:$D$892,1,0)),VLOOKUP($A32,'liste reference'!$A$7:$D$892,2,0))</f>
        <v>Cinclidotus riparius</v>
      </c>
      <c r="E32" s="465" t="e">
        <f aca="false">IF(D32="",0,VLOOKUP(D32,D$22:D31,1,0))</f>
        <v>#N/A</v>
      </c>
      <c r="F32" s="466" t="n">
        <f aca="false">($B32*$B$7+$C32*$C$7)/100</f>
        <v>1.95</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13</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Cinclidotus riparius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1321</v>
      </c>
      <c r="Q32" s="455" t="n">
        <f aca="false">IF(ISTEXT(H32),"",(B32*$B$7/100)+(C32*$C$7/100))</f>
        <v>1.95</v>
      </c>
      <c r="R32" s="456" t="n">
        <f aca="false">IF(OR(ISTEXT(H32),Q32=0),"",IF(Q32&lt;0.1,1,IF(Q32&lt;1,2,IF(Q32&lt;10,3,IF(Q32&lt;50,4,IF(Q32&gt;=50,5,""))))))</f>
        <v>3</v>
      </c>
      <c r="S32" s="456" t="n">
        <f aca="false">IF(ISERROR(R32*I32),0,R32*I32)</f>
        <v>39</v>
      </c>
      <c r="T32" s="456" t="n">
        <f aca="false">IF(ISERROR(R32*I32*J32),0,R32*I32*J32)</f>
        <v>78</v>
      </c>
      <c r="U32" s="470" t="n">
        <f aca="false">IF(ISERROR(R32*J32),0,R32*J32)</f>
        <v>6</v>
      </c>
      <c r="V32" s="457" t="n">
        <v>6</v>
      </c>
      <c r="W32" s="471"/>
      <c r="Y32" s="459" t="str">
        <f aca="false">IF(A32="new.cod","NEWCOD",IF(AND((Z32=""),ISTEXT(A32)),A32,IF(Z32="","",INDEX('liste reference'!$A$7:$A$892,Z32))))</f>
        <v>CINRIP</v>
      </c>
      <c r="Z32" s="250" t="n">
        <f aca="false">IF(ISERROR(MATCH(A32,'liste reference'!$A$7:$A$892,0)),IF(ISERROR(MATCH(A32,'liste reference'!$B$7:$B$892,0)),"",(MATCH(A32,'liste reference'!$B$7:$B$892,0))),(MATCH(A32,'liste reference'!$A$7:$A$892,0)))</f>
        <v>177</v>
      </c>
      <c r="AA32" s="460"/>
      <c r="AB32" s="461"/>
      <c r="AC32" s="461"/>
      <c r="BC32" s="250" t="n">
        <f aca="false">IF(A32="","",1)</f>
        <v>1</v>
      </c>
    </row>
    <row r="33" customFormat="false" ht="12.75" hidden="false" customHeight="false" outlineLevel="0" collapsed="false">
      <c r="A33" s="462" t="s">
        <v>630</v>
      </c>
      <c r="B33" s="463" t="n">
        <v>0.005</v>
      </c>
      <c r="C33" s="464"/>
      <c r="D33" s="465" t="str">
        <f aca="false">IF(ISERROR(VLOOKUP($A33,'liste reference'!$A$7:$D$892,2,0)),IF(ISERROR(VLOOKUP($A33,'liste reference'!$B$7:$D$892,1,0)),"",VLOOKUP($A33,'liste reference'!$B$7:$D$892,1,0)),VLOOKUP($A33,'liste reference'!$A$7:$D$892,2,0))</f>
        <v>Cratoneuron filicinum</v>
      </c>
      <c r="E33" s="465" t="e">
        <f aca="false">IF(D33="",0,VLOOKUP(D33,D$22:D32,1,0))</f>
        <v>#N/A</v>
      </c>
      <c r="F33" s="466" t="n">
        <f aca="false">($B33*$B$7+$C33*$C$7)/100</f>
        <v>0.00225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18</v>
      </c>
      <c r="J33" s="451" t="n">
        <f aca="false">IF(ISNUMBER(H33),IF(ISERROR(VLOOKUP($A33,'liste reference'!$A$7:$P$892,4,0)),IF(ISERROR(VLOOKUP($A33,'liste reference'!$B$7:$P$892,3,0)),"",VLOOKUP($A33,'liste reference'!$B$7:$P$892,3,0)),VLOOKUP($A33,'liste reference'!$A$7:$P$892,4,0)),"")</f>
        <v>3</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Cratoneuron filicinum</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1233</v>
      </c>
      <c r="Q33" s="455" t="n">
        <f aca="false">IF(ISTEXT(H33),"",(B33*$B$7/100)+(C33*$C$7/100))</f>
        <v>0.00225</v>
      </c>
      <c r="R33" s="456" t="n">
        <f aca="false">IF(OR(ISTEXT(H33),Q33=0),"",IF(Q33&lt;0.1,1,IF(Q33&lt;1,2,IF(Q33&lt;10,3,IF(Q33&lt;50,4,IF(Q33&gt;=50,5,""))))))</f>
        <v>1</v>
      </c>
      <c r="S33" s="456" t="n">
        <f aca="false">IF(ISERROR(R33*I33),0,R33*I33)</f>
        <v>18</v>
      </c>
      <c r="T33" s="456" t="n">
        <f aca="false">IF(ISERROR(R33*I33*J33),0,R33*I33*J33)</f>
        <v>54</v>
      </c>
      <c r="U33" s="470" t="n">
        <f aca="false">IF(ISERROR(R33*J33),0,R33*J33)</f>
        <v>3</v>
      </c>
      <c r="V33" s="457" t="n">
        <v>3</v>
      </c>
      <c r="W33" s="471"/>
      <c r="Y33" s="459" t="str">
        <f aca="false">IF(A33="new.cod","NEWCOD",IF(AND((Z33=""),ISTEXT(A33)),A33,IF(Z33="","",INDEX('liste reference'!$A$7:$A$892,Z33))))</f>
        <v>CRAFIL</v>
      </c>
      <c r="Z33" s="250" t="n">
        <f aca="false">IF(ISERROR(MATCH(A33,'liste reference'!$A$7:$A$892,0)),IF(ISERROR(MATCH(A33,'liste reference'!$B$7:$B$892,0)),"",(MATCH(A33,'liste reference'!$B$7:$B$892,0))),(MATCH(A33,'liste reference'!$A$7:$A$892,0)))</f>
        <v>193</v>
      </c>
      <c r="AA33" s="460"/>
      <c r="AB33" s="461"/>
      <c r="AC33" s="461"/>
      <c r="BC33" s="250" t="n">
        <f aca="false">IF(A33="","",1)</f>
        <v>1</v>
      </c>
    </row>
    <row r="34" customFormat="false" ht="12.75" hidden="false" customHeight="false" outlineLevel="0" collapsed="false">
      <c r="A34" s="462" t="s">
        <v>913</v>
      </c>
      <c r="B34" s="463" t="n">
        <v>0.005</v>
      </c>
      <c r="C34" s="464"/>
      <c r="D34" s="465" t="str">
        <f aca="false">IF(ISERROR(VLOOKUP($A34,'liste reference'!$A$7:$D$892,2,0)),IF(ISERROR(VLOOKUP($A34,'liste reference'!$B$7:$D$892,1,0)),"",VLOOKUP($A34,'liste reference'!$B$7:$D$892,1,0)),VLOOKUP($A34,'liste reference'!$A$7:$D$892,2,0))</f>
        <v>Fissidens crassipes</v>
      </c>
      <c r="E34" s="465" t="e">
        <f aca="false">IF(D34="",0,VLOOKUP(D34,D$22:D33,1,0))</f>
        <v>#N/A</v>
      </c>
      <c r="F34" s="472" t="n">
        <f aca="false">($B34*$B$7+$C34*$C$7)/100</f>
        <v>0.00225</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12</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Fissidens crassipes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1294</v>
      </c>
      <c r="Q34" s="455" t="n">
        <f aca="false">IF(ISTEXT(H34),"",(B34*$B$7/100)+(C34*$C$7/100))</f>
        <v>0.00225</v>
      </c>
      <c r="R34" s="456" t="n">
        <f aca="false">IF(OR(ISTEXT(H34),Q34=0),"",IF(Q34&lt;0.1,1,IF(Q34&lt;1,2,IF(Q34&lt;10,3,IF(Q34&lt;50,4,IF(Q34&gt;=50,5,""))))))</f>
        <v>1</v>
      </c>
      <c r="S34" s="456" t="n">
        <f aca="false">IF(ISERROR(R34*I34),0,R34*I34)</f>
        <v>12</v>
      </c>
      <c r="T34" s="456" t="n">
        <f aca="false">IF(ISERROR(R34*I34*J34),0,R34*I34*J34)</f>
        <v>24</v>
      </c>
      <c r="U34" s="470" t="n">
        <f aca="false">IF(ISERROR(R34*J34),0,R34*J34)</f>
        <v>2</v>
      </c>
      <c r="V34" s="457" t="n">
        <v>2</v>
      </c>
      <c r="W34" s="471"/>
      <c r="Y34" s="459" t="str">
        <f aca="false">IF(A34="new.cod","NEWCOD",IF(AND((Z34=""),ISTEXT(A34)),A34,IF(Z34="","",INDEX('liste reference'!$A$7:$A$892,Z34))))</f>
        <v>FISCRA</v>
      </c>
      <c r="Z34" s="250" t="n">
        <f aca="false">IF(ISERROR(MATCH(A34,'liste reference'!$A$7:$A$892,0)),IF(ISERROR(MATCH(A34,'liste reference'!$B$7:$B$892,0)),"",(MATCH(A34,'liste reference'!$B$7:$B$892,0))),(MATCH(A34,'liste reference'!$A$7:$A$892,0)))</f>
        <v>291</v>
      </c>
      <c r="AA34" s="460"/>
      <c r="AB34" s="461"/>
      <c r="AC34" s="461"/>
      <c r="BC34" s="250" t="n">
        <f aca="false">IF(A34="","",1)</f>
        <v>1</v>
      </c>
    </row>
    <row r="35" customFormat="false" ht="12.75" hidden="false" customHeight="false" outlineLevel="0" collapsed="false">
      <c r="A35" s="462" t="s">
        <v>959</v>
      </c>
      <c r="B35" s="463" t="n">
        <v>0.04</v>
      </c>
      <c r="C35" s="464"/>
      <c r="D35" s="465" t="str">
        <f aca="false">IF(ISERROR(VLOOKUP($A35,'liste reference'!$A$7:$D$892,2,0)),IF(ISERROR(VLOOKUP($A35,'liste reference'!$B$7:$D$892,1,0)),"",VLOOKUP($A35,'liste reference'!$B$7:$D$892,1,0)),VLOOKUP($A35,'liste reference'!$A$7:$D$892,2,0))</f>
        <v>Fontinalis antipyretica</v>
      </c>
      <c r="E35" s="465" t="e">
        <f aca="false">IF(D35="",0,VLOOKUP(D35,D$22:D34,1,0))</f>
        <v>#N/A</v>
      </c>
      <c r="F35" s="472" t="n">
        <f aca="false">($B35*$B$7+$C35*$C$7)/100</f>
        <v>0.018</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10</v>
      </c>
      <c r="J35" s="451" t="n">
        <f aca="false">IF(ISNUMBER(H35),IF(ISERROR(VLOOKUP($A35,'liste reference'!$A$7:$P$892,4,0)),IF(ISERROR(VLOOKUP($A35,'liste reference'!$B$7:$P$892,3,0)),"",VLOOKUP($A35,'liste reference'!$B$7:$P$892,3,0)),VLOOKUP($A35,'liste reference'!$A$7:$P$892,4,0)),"")</f>
        <v>1</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Fontinalis antipyretica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131</v>
      </c>
      <c r="Q35" s="455" t="n">
        <f aca="false">IF(ISTEXT(H35),"",(B35*$B$7/100)+(C35*$C$7/100))</f>
        <v>0.018</v>
      </c>
      <c r="R35" s="456" t="n">
        <f aca="false">IF(OR(ISTEXT(H35),Q35=0),"",IF(Q35&lt;0.1,1,IF(Q35&lt;1,2,IF(Q35&lt;10,3,IF(Q35&lt;50,4,IF(Q35&gt;=50,5,""))))))</f>
        <v>1</v>
      </c>
      <c r="S35" s="456" t="n">
        <f aca="false">IF(ISERROR(R35*I35),0,R35*I35)</f>
        <v>10</v>
      </c>
      <c r="T35" s="456" t="n">
        <f aca="false">IF(ISERROR(R35*I35*J35),0,R35*I35*J35)</f>
        <v>10</v>
      </c>
      <c r="U35" s="470" t="n">
        <f aca="false">IF(ISERROR(R35*J35),0,R35*J35)</f>
        <v>1</v>
      </c>
      <c r="V35" s="457" t="n">
        <v>1</v>
      </c>
      <c r="W35" s="471"/>
      <c r="Y35" s="459" t="str">
        <f aca="false">IF(A35="new.cod","NEWCOD",IF(AND((Z35=""),ISTEXT(A35)),A35,IF(Z35="","",INDEX('liste reference'!$A$7:$A$892,Z35))))</f>
        <v>FONANT</v>
      </c>
      <c r="Z35" s="250" t="n">
        <f aca="false">IF(ISERROR(MATCH(A35,'liste reference'!$A$7:$A$892,0)),IF(ISERROR(MATCH(A35,'liste reference'!$B$7:$B$892,0)),"",(MATCH(A35,'liste reference'!$B$7:$B$892,0))),(MATCH(A35,'liste reference'!$A$7:$A$892,0)))</f>
        <v>304</v>
      </c>
      <c r="AA35" s="460"/>
      <c r="AB35" s="461"/>
      <c r="AC35" s="461"/>
      <c r="BC35" s="250" t="n">
        <f aca="false">IF(A35="","",1)</f>
        <v>1</v>
      </c>
    </row>
    <row r="36" customFormat="false" ht="12.75" hidden="false" customHeight="false" outlineLevel="0" collapsed="false">
      <c r="A36" s="462" t="s">
        <v>2077</v>
      </c>
      <c r="B36" s="463" t="n">
        <v>0.01</v>
      </c>
      <c r="C36" s="464"/>
      <c r="D36" s="465" t="str">
        <f aca="false">IF(ISERROR(VLOOKUP($A36,'liste reference'!$A$7:$D$892,2,0)),IF(ISERROR(VLOOKUP($A36,'liste reference'!$B$7:$D$892,1,0)),"",VLOOKUP($A36,'liste reference'!$B$7:$D$892,1,0)),VLOOKUP($A36,'liste reference'!$A$7:$D$892,2,0))</f>
        <v>Rhynchostegium riparioides</v>
      </c>
      <c r="E36" s="465" t="e">
        <f aca="false">IF(D36="",0,VLOOKUP(D36,D$22:D35,1,0))</f>
        <v>#N/A</v>
      </c>
      <c r="F36" s="472" t="n">
        <f aca="false">($B36*$B$7+$C36*$C$7)/100</f>
        <v>0.0045</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12</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Rhynchostegium riparioides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1268</v>
      </c>
      <c r="Q36" s="455" t="n">
        <f aca="false">IF(ISTEXT(H36),"",(B36*$B$7/100)+(C36*$C$7/100))</f>
        <v>0.0045</v>
      </c>
      <c r="R36" s="456" t="n">
        <f aca="false">IF(OR(ISTEXT(H36),Q36=0),"",IF(Q36&lt;0.1,1,IF(Q36&lt;1,2,IF(Q36&lt;10,3,IF(Q36&lt;50,4,IF(Q36&gt;=50,5,""))))))</f>
        <v>1</v>
      </c>
      <c r="S36" s="456" t="n">
        <f aca="false">IF(ISERROR(R36*I36),0,R36*I36)</f>
        <v>12</v>
      </c>
      <c r="T36" s="456" t="n">
        <f aca="false">IF(ISERROR(R36*I36*J36),0,R36*I36*J36)</f>
        <v>12</v>
      </c>
      <c r="U36" s="470" t="n">
        <f aca="false">IF(ISERROR(R36*J36),0,R36*J36)</f>
        <v>1</v>
      </c>
      <c r="V36" s="457" t="n">
        <v>1</v>
      </c>
      <c r="W36" s="471"/>
      <c r="Y36" s="459" t="str">
        <f aca="false">IF(A36="new.cod","NEWCOD",IF(AND((Z36=""),ISTEXT(A36)),A36,IF(Z36="","",INDEX('liste reference'!$A$7:$A$892,Z36))))</f>
        <v>RHYRIP</v>
      </c>
      <c r="Z36" s="250" t="n">
        <f aca="false">IF(ISERROR(MATCH(A36,'liste reference'!$A$7:$A$892,0)),IF(ISERROR(MATCH(A36,'liste reference'!$B$7:$B$892,0)),"",(MATCH(A36,'liste reference'!$B$7:$B$892,0))),(MATCH(A36,'liste reference'!$A$7:$A$892,0)))</f>
        <v>705</v>
      </c>
      <c r="AA36" s="460"/>
      <c r="AB36" s="461"/>
      <c r="AC36" s="461"/>
      <c r="BC36" s="250" t="n">
        <f aca="false">IF(A36="","",1)</f>
        <v>1</v>
      </c>
    </row>
    <row r="37" customFormat="false" ht="12.75" hidden="false" customHeight="false" outlineLevel="0" collapsed="false">
      <c r="A37" s="462" t="s">
        <v>1500</v>
      </c>
      <c r="B37" s="463" t="n">
        <v>0.01</v>
      </c>
      <c r="C37" s="464"/>
      <c r="D37" s="465" t="str">
        <f aca="false">IF(ISERROR(VLOOKUP($A37,'liste reference'!$A$7:$D$892,2,0)),IF(ISERROR(VLOOKUP($A37,'liste reference'!$B$7:$D$892,1,0)),"",VLOOKUP($A37,'liste reference'!$B$7:$D$892,1,0)),VLOOKUP($A37,'liste reference'!$A$7:$D$892,2,0))</f>
        <v>Myriophyllum spicatum</v>
      </c>
      <c r="E37" s="465" t="e">
        <f aca="false">IF(D37="",0,VLOOKUP(D37,D$22:D36,1,0))</f>
        <v>#N/A</v>
      </c>
      <c r="F37" s="472" t="n">
        <f aca="false">($B37*$B$7+$C37*$C$7)/100</f>
        <v>0.0045</v>
      </c>
      <c r="G37" s="467" t="str">
        <f aca="false">IF(A37="","",IF(ISERROR(VLOOKUP($A37,'liste reference'!$A$7:$P$892,13,0)),IF(ISERROR(VLOOKUP($A37,'liste reference'!$B$7:$P$892,12,0)),"    -",VLOOKUP($A37,'liste reference'!$B$7:$P$892,12,0)),VLOOKUP($A37,'liste reference'!$A$7:$P$892,13,0)))</f>
        <v>PHy</v>
      </c>
      <c r="H37" s="449" t="n">
        <f aca="false">IF(A37="","x",IF(ISERROR(VLOOKUP($A37,'liste reference'!$A$7:$P$892,14,0)),IF(ISERROR(VLOOKUP($A37,'liste reference'!$B$7:$P$892,13,0)),"x",VLOOKUP($A37,'liste reference'!$B$7:$P$892,13,0)),VLOOKUP($A37,'liste reference'!$A$7:$P$892,14,0)))</f>
        <v>7</v>
      </c>
      <c r="I37" s="468" t="n">
        <f aca="false">IF(ISNUMBER(H37),IF(ISERROR(VLOOKUP($A37,'liste reference'!$A$7:$P$892,3,0)),IF(ISERROR(VLOOKUP($A37,'liste reference'!$B$7:$P$892,2,0)),"",VLOOKUP($A37,'liste reference'!$B$7:$P$892,2,0)),VLOOKUP($A37,'liste reference'!$A$7:$P$892,3,0)),"")</f>
        <v>8</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Myriophyllum spicatum</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1778</v>
      </c>
      <c r="Q37" s="455" t="n">
        <f aca="false">IF(ISTEXT(H37),"",(B37*$B$7/100)+(C37*$C$7/100))</f>
        <v>0.0045</v>
      </c>
      <c r="R37" s="456" t="n">
        <f aca="false">IF(OR(ISTEXT(H37),Q37=0),"",IF(Q37&lt;0.1,1,IF(Q37&lt;1,2,IF(Q37&lt;10,3,IF(Q37&lt;50,4,IF(Q37&gt;=50,5,""))))))</f>
        <v>1</v>
      </c>
      <c r="S37" s="456" t="n">
        <f aca="false">IF(ISERROR(R37*I37),0,R37*I37)</f>
        <v>8</v>
      </c>
      <c r="T37" s="456" t="n">
        <f aca="false">IF(ISERROR(R37*I37*J37),0,R37*I37*J37)</f>
        <v>16</v>
      </c>
      <c r="U37" s="470" t="n">
        <f aca="false">IF(ISERROR(R37*J37),0,R37*J37)</f>
        <v>2</v>
      </c>
      <c r="V37" s="457" t="n">
        <v>2</v>
      </c>
      <c r="W37" s="471"/>
      <c r="Y37" s="459" t="str">
        <f aca="false">IF(A37="new.cod","NEWCOD",IF(AND((Z37=""),ISTEXT(A37)),A37,IF(Z37="","",INDEX('liste reference'!$A$7:$A$892,Z37))))</f>
        <v>MYRSPI</v>
      </c>
      <c r="Z37" s="250" t="n">
        <f aca="false">IF(ISERROR(MATCH(A37,'liste reference'!$A$7:$A$892,0)),IF(ISERROR(MATCH(A37,'liste reference'!$B$7:$B$892,0)),"",(MATCH(A37,'liste reference'!$B$7:$B$892,0))),(MATCH(A37,'liste reference'!$A$7:$A$892,0)))</f>
        <v>495</v>
      </c>
      <c r="AA37" s="460"/>
      <c r="AB37" s="461"/>
      <c r="AC37" s="461"/>
      <c r="BC37" s="250" t="n">
        <f aca="false">IF(A37="","",1)</f>
        <v>1</v>
      </c>
    </row>
    <row r="38" customFormat="false" ht="12.75" hidden="false" customHeight="false" outlineLevel="0" collapsed="false">
      <c r="A38" s="462" t="s">
        <v>2037</v>
      </c>
      <c r="B38" s="463" t="n">
        <v>0.4</v>
      </c>
      <c r="C38" s="464" t="n">
        <v>0.1</v>
      </c>
      <c r="D38" s="465" t="str">
        <f aca="false">IF(ISERROR(VLOOKUP($A38,'liste reference'!$A$7:$D$892,2,0)),IF(ISERROR(VLOOKUP($A38,'liste reference'!$B$7:$D$892,1,0)),"",VLOOKUP($A38,'liste reference'!$B$7:$D$892,1,0)),VLOOKUP($A38,'liste reference'!$A$7:$D$892,2,0))</f>
        <v>Ranunculus penicillatus subsp. pseudofluitans</v>
      </c>
      <c r="E38" s="465" t="e">
        <f aca="false">IF(D38="",0,VLOOKUP(D38,D$22:D37,1,0))</f>
        <v>#N/A</v>
      </c>
      <c r="F38" s="472" t="n">
        <f aca="false">($B38*$B$7+$C38*$C$7)/100</f>
        <v>0.235</v>
      </c>
      <c r="G38" s="467" t="str">
        <f aca="false">IF(A38="","",IF(ISERROR(VLOOKUP($A38,'liste reference'!$A$7:$P$892,13,0)),IF(ISERROR(VLOOKUP($A38,'liste reference'!$B$7:$P$892,12,0)),"    -",VLOOKUP($A38,'liste reference'!$B$7:$P$892,12,0)),VLOOKUP($A38,'liste reference'!$A$7:$P$892,13,0)))</f>
        <v>PHy</v>
      </c>
      <c r="H38" s="449" t="n">
        <f aca="false">IF(A38="","x",IF(ISERROR(VLOOKUP($A38,'liste reference'!$A$7:$P$892,14,0)),IF(ISERROR(VLOOKUP($A38,'liste reference'!$B$7:$P$892,13,0)),"x",VLOOKUP($A38,'liste reference'!$B$7:$P$892,13,0)),VLOOKUP($A38,'liste reference'!$A$7:$P$892,14,0)))</f>
        <v>7</v>
      </c>
      <c r="I38" s="468" t="n">
        <f aca="false">IF(ISNUMBER(H38),IF(ISERROR(VLOOKUP($A38,'liste reference'!$A$7:$P$892,3,0)),IF(ISERROR(VLOOKUP($A38,'liste reference'!$B$7:$P$892,2,0)),"",VLOOKUP($A38,'liste reference'!$B$7:$P$892,2,0)),VLOOKUP($A38,'liste reference'!$A$7:$P$892,3,0)),"")</f>
        <v>12</v>
      </c>
      <c r="J38" s="451" t="n">
        <f aca="false">IF(ISNUMBER(H38),IF(ISERROR(VLOOKUP($A38,'liste reference'!$A$7:$P$892,4,0)),IF(ISERROR(VLOOKUP($A38,'liste reference'!$B$7:$P$892,3,0)),"",VLOOKUP($A38,'liste reference'!$B$7:$P$892,3,0)),VLOOKUP($A38,'liste reference'!$A$7:$P$892,4,0)),"")</f>
        <v>2</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Ranunculus penicillatus subsp. pseudofluitans</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19974</v>
      </c>
      <c r="Q38" s="455" t="n">
        <f aca="false">IF(ISTEXT(H38),"",(B38*$B$7/100)+(C38*$C$7/100))</f>
        <v>0.235</v>
      </c>
      <c r="R38" s="456" t="n">
        <f aca="false">IF(OR(ISTEXT(H38),Q38=0),"",IF(Q38&lt;0.1,1,IF(Q38&lt;1,2,IF(Q38&lt;10,3,IF(Q38&lt;50,4,IF(Q38&gt;=50,5,""))))))</f>
        <v>2</v>
      </c>
      <c r="S38" s="456" t="n">
        <f aca="false">IF(ISERROR(R38*I38),0,R38*I38)</f>
        <v>24</v>
      </c>
      <c r="T38" s="456" t="n">
        <f aca="false">IF(ISERROR(R38*I38*J38),0,R38*I38*J38)</f>
        <v>48</v>
      </c>
      <c r="U38" s="470" t="n">
        <f aca="false">IF(ISERROR(R38*J38),0,R38*J38)</f>
        <v>4</v>
      </c>
      <c r="V38" s="457" t="n">
        <v>4</v>
      </c>
      <c r="W38" s="471"/>
      <c r="Y38" s="459" t="str">
        <f aca="false">IF(A38="new.cod","NEWCOD",IF(AND((Z38=""),ISTEXT(A38)),A38,IF(Z38="","",INDEX('liste reference'!$A$7:$A$892,Z38))))</f>
        <v>RANPSE</v>
      </c>
      <c r="Z38" s="250" t="n">
        <f aca="false">IF(ISERROR(MATCH(A38,'liste reference'!$A$7:$A$892,0)),IF(ISERROR(MATCH(A38,'liste reference'!$B$7:$B$892,0)),"",(MATCH(A38,'liste reference'!$B$7:$B$892,0))),(MATCH(A38,'liste reference'!$A$7:$A$892,0)))</f>
        <v>689</v>
      </c>
      <c r="AA38" s="460"/>
      <c r="AB38" s="461" t="s">
        <v>2684</v>
      </c>
      <c r="AC38" s="461"/>
      <c r="BC38" s="250" t="n">
        <f aca="false">IF(A38="","",1)</f>
        <v>1</v>
      </c>
    </row>
    <row r="39" customFormat="false" ht="12.75" hidden="false" customHeight="false" outlineLevel="0" collapsed="false">
      <c r="A39" s="462" t="s">
        <v>785</v>
      </c>
      <c r="B39" s="463" t="n">
        <v>0.005</v>
      </c>
      <c r="C39" s="464" t="n">
        <v>0.005</v>
      </c>
      <c r="D39" s="465" t="str">
        <f aca="false">IF(ISERROR(VLOOKUP($A39,'liste reference'!$A$7:$D$892,2,0)),IF(ISERROR(VLOOKUP($A39,'liste reference'!$B$7:$D$892,1,0)),"",VLOOKUP($A39,'liste reference'!$B$7:$D$892,1,0)),VLOOKUP($A39,'liste reference'!$A$7:$D$892,2,0))</f>
        <v>Eleocharis palustris</v>
      </c>
      <c r="E39" s="465" t="e">
        <f aca="false">IF(D39="",0,VLOOKUP(D39,D$22:D38,1,0))</f>
        <v>#N/A</v>
      </c>
      <c r="F39" s="472" t="n">
        <f aca="false">($B39*$B$7+$C39*$C$7)/100</f>
        <v>0.005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12</v>
      </c>
      <c r="J39" s="451" t="n">
        <f aca="false">IF(ISNUMBER(H39),IF(ISERROR(VLOOKUP($A39,'liste reference'!$A$7:$P$892,4,0)),IF(ISERROR(VLOOKUP($A39,'liste reference'!$B$7:$P$892,3,0)),"",VLOOKUP($A39,'liste reference'!$B$7:$P$892,3,0)),VLOOKUP($A39,'liste reference'!$A$7:$P$892,4,0)),"")</f>
        <v>2</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Eleocharis palustris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156</v>
      </c>
      <c r="Q39" s="455" t="n">
        <f aca="false">IF(ISTEXT(H39),"",(B39*$B$7/100)+(C39*$C$7/100))</f>
        <v>0.005</v>
      </c>
      <c r="R39" s="456" t="n">
        <f aca="false">IF(OR(ISTEXT(H39),Q39=0),"",IF(Q39&lt;0.1,1,IF(Q39&lt;1,2,IF(Q39&lt;10,3,IF(Q39&lt;50,4,IF(Q39&gt;=50,5,""))))))</f>
        <v>1</v>
      </c>
      <c r="S39" s="456" t="n">
        <f aca="false">IF(ISERROR(R39*I39),0,R39*I39)</f>
        <v>12</v>
      </c>
      <c r="T39" s="456" t="n">
        <f aca="false">IF(ISERROR(R39*I39*J39),0,R39*I39*J39)</f>
        <v>24</v>
      </c>
      <c r="U39" s="470" t="n">
        <f aca="false">IF(ISERROR(R39*J39),0,R39*J39)</f>
        <v>2</v>
      </c>
      <c r="V39" s="457" t="n">
        <v>2</v>
      </c>
      <c r="W39" s="471"/>
      <c r="Y39" s="459" t="str">
        <f aca="false">IF(A39="new.cod","NEWCOD",IF(AND((Z39=""),ISTEXT(A39)),A39,IF(Z39="","",INDEX('liste reference'!$A$7:$A$892,Z39))))</f>
        <v>ELEPAL</v>
      </c>
      <c r="Z39" s="250" t="n">
        <f aca="false">IF(ISERROR(MATCH(A39,'liste reference'!$A$7:$A$892,0)),IF(ISERROR(MATCH(A39,'liste reference'!$B$7:$B$892,0)),"",(MATCH(A39,'liste reference'!$B$7:$B$892,0))),(MATCH(A39,'liste reference'!$A$7:$A$892,0)))</f>
        <v>245</v>
      </c>
      <c r="AA39" s="460"/>
      <c r="AB39" s="461"/>
      <c r="AC39" s="461"/>
      <c r="BC39" s="250" t="n">
        <f aca="false">IF(A39="","",1)</f>
        <v>1</v>
      </c>
    </row>
    <row r="40" customFormat="false" ht="12.75" hidden="false" customHeight="false" outlineLevel="0" collapsed="false">
      <c r="A40" s="462" t="s">
        <v>1350</v>
      </c>
      <c r="B40" s="463" t="n">
        <v>0.005</v>
      </c>
      <c r="C40" s="464"/>
      <c r="D40" s="465" t="str">
        <f aca="false">IF(ISERROR(VLOOKUP($A40,'liste reference'!$A$7:$D$892,2,0)),IF(ISERROR(VLOOKUP($A40,'liste reference'!$B$7:$D$892,1,0)),"",VLOOKUP($A40,'liste reference'!$B$7:$D$892,1,0)),VLOOKUP($A40,'liste reference'!$A$7:$D$892,2,0))</f>
        <v>Lysimachia vulgaris</v>
      </c>
      <c r="E40" s="465" t="e">
        <f aca="false">IF(D40="",0,VLOOKUP(D40,D$22:D39,1,0))</f>
        <v>#N/A</v>
      </c>
      <c r="F40" s="472" t="n">
        <f aca="false">($B40*$B$7+$C40*$C$7)/100</f>
        <v>0.00225</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0</v>
      </c>
      <c r="J40" s="451" t="n">
        <f aca="false">IF(ISNUMBER(H40),IF(ISERROR(VLOOKUP($A40,'liste reference'!$A$7:$P$892,4,0)),IF(ISERROR(VLOOKUP($A40,'liste reference'!$B$7:$P$892,3,0)),"",VLOOKUP($A40,'liste reference'!$B$7:$P$892,3,0)),VLOOKUP($A40,'liste reference'!$A$7:$P$892,4,0)),"")</f>
        <v>0</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Lysimachia vulgaris</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1887</v>
      </c>
      <c r="Q40" s="455" t="n">
        <f aca="false">IF(ISTEXT(H40),"",(B40*$B$7/100)+(C40*$C$7/100))</f>
        <v>0.00225</v>
      </c>
      <c r="R40" s="456" t="n">
        <f aca="false">IF(OR(ISTEXT(H40),Q40=0),"",IF(Q40&lt;0.1,1,IF(Q40&lt;1,2,IF(Q40&lt;10,3,IF(Q40&lt;50,4,IF(Q40&gt;=50,5,""))))))</f>
        <v>1</v>
      </c>
      <c r="S40" s="456" t="n">
        <f aca="false">IF(ISERROR(R40*I40),0,R40*I40)</f>
        <v>0</v>
      </c>
      <c r="T40" s="456" t="n">
        <f aca="false">IF(ISERROR(R40*I40*J40),0,R40*I40*J40)</f>
        <v>0</v>
      </c>
      <c r="U40" s="470" t="n">
        <f aca="false">IF(ISERROR(R40*J40),0,R40*J40)</f>
        <v>0</v>
      </c>
      <c r="V40" s="457" t="n">
        <v>0</v>
      </c>
      <c r="W40" s="471"/>
      <c r="Y40" s="459" t="str">
        <f aca="false">IF(A40="new.cod","NEWCOD",IF(AND((Z40=""),ISTEXT(A40)),A40,IF(Z40="","",INDEX('liste reference'!$A$7:$A$892,Z40))))</f>
        <v>LYSVUL</v>
      </c>
      <c r="Z40" s="250" t="n">
        <f aca="false">IF(ISERROR(MATCH(A40,'liste reference'!$A$7:$A$892,0)),IF(ISERROR(MATCH(A40,'liste reference'!$B$7:$B$892,0)),"",(MATCH(A40,'liste reference'!$B$7:$B$892,0))),(MATCH(A40,'liste reference'!$A$7:$A$892,0)))</f>
        <v>440</v>
      </c>
      <c r="AA40" s="460"/>
      <c r="AB40" s="461"/>
      <c r="AC40" s="461"/>
      <c r="BC40" s="250" t="n">
        <f aca="false">IF(A40="","",1)</f>
        <v>1</v>
      </c>
    </row>
    <row r="41" customFormat="false" ht="12.75" hidden="false" customHeight="false" outlineLevel="0" collapsed="false">
      <c r="A41" s="462" t="s">
        <v>1410</v>
      </c>
      <c r="B41" s="463" t="n">
        <v>0.005</v>
      </c>
      <c r="C41" s="464"/>
      <c r="D41" s="465" t="str">
        <f aca="false">IF(ISERROR(VLOOKUP($A41,'liste reference'!$A$7:$D$892,2,0)),IF(ISERROR(VLOOKUP($A41,'liste reference'!$B$7:$D$892,1,0)),"",VLOOKUP($A41,'liste reference'!$B$7:$D$892,1,0)),VLOOKUP($A41,'liste reference'!$A$7:$D$892,2,0))</f>
        <v>Mentha aquatica</v>
      </c>
      <c r="E41" s="465" t="e">
        <f aca="false">IF(D41="",0,VLOOKUP(D41,D$22:D40,1,0))</f>
        <v>#N/A</v>
      </c>
      <c r="F41" s="472" t="n">
        <f aca="false">($B41*$B$7+$C41*$C$7)/100</f>
        <v>0.00225</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12</v>
      </c>
      <c r="J41" s="451" t="n">
        <f aca="false">IF(ISNUMBER(H41),IF(ISERROR(VLOOKUP($A41,'liste reference'!$A$7:$P$892,4,0)),IF(ISERROR(VLOOKUP($A41,'liste reference'!$B$7:$P$892,3,0)),"",VLOOKUP($A41,'liste reference'!$B$7:$P$892,3,0)),VLOOKUP($A41,'liste reference'!$A$7:$P$892,4,0)),"")</f>
        <v>1</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Mentha aquatica</v>
      </c>
      <c r="L41" s="469"/>
      <c r="M41" s="469"/>
      <c r="N41" s="469"/>
      <c r="O41" s="454" t="str">
        <f aca="false">IF(AA41="Cf.","Cf.","")</f>
        <v>Cf.</v>
      </c>
      <c r="P41" s="454" t="n">
        <f aca="false">IF($A41="NEWCOD",IF($AC41="","No",$AC41),IF(ISTEXT($E41),"DEJA SAISI !",IF($A41="","",IF(ISERROR(VLOOKUP($A41,'liste reference'!A:S,19,FALSE())),IF(ISERROR(VLOOKUP($A41,'liste reference'!B:S,19,FALSE())),"",VLOOKUP($A41,'liste reference'!B:S,19,FALSE())),VLOOKUP($A41,'liste reference'!A:S,19,FALSE())))))</f>
        <v>1791</v>
      </c>
      <c r="Q41" s="455" t="n">
        <f aca="false">IF(ISTEXT(H41),"",(B41*$B$7/100)+(C41*$C$7/100))</f>
        <v>0.00225</v>
      </c>
      <c r="R41" s="456" t="n">
        <f aca="false">IF(OR(ISTEXT(H41),Q41=0),"",IF(Q41&lt;0.1,1,IF(Q41&lt;1,2,IF(Q41&lt;10,3,IF(Q41&lt;50,4,IF(Q41&gt;=50,5,""))))))</f>
        <v>1</v>
      </c>
      <c r="S41" s="456" t="n">
        <f aca="false">IF(ISERROR(R41*I41),0,R41*I41)</f>
        <v>12</v>
      </c>
      <c r="T41" s="456" t="n">
        <f aca="false">IF(ISERROR(R41*I41*J41),0,R41*I41*J41)</f>
        <v>12</v>
      </c>
      <c r="U41" s="470" t="n">
        <f aca="false">IF(ISERROR(R41*J41),0,R41*J41)</f>
        <v>1</v>
      </c>
      <c r="V41" s="457" t="n">
        <v>1</v>
      </c>
      <c r="W41" s="471"/>
      <c r="Y41" s="459" t="str">
        <f aca="false">IF(A41="new.cod","NEWCOD",IF(AND((Z41=""),ISTEXT(A41)),A41,IF(Z41="","",INDEX('liste reference'!$A$7:$A$892,Z41))))</f>
        <v>MENAQU</v>
      </c>
      <c r="Z41" s="250" t="n">
        <f aca="false">IF(ISERROR(MATCH(A41,'liste reference'!$A$7:$A$892,0)),IF(ISERROR(MATCH(A41,'liste reference'!$B$7:$B$892,0)),"",(MATCH(A41,'liste reference'!$B$7:$B$892,0))),(MATCH(A41,'liste reference'!$A$7:$A$892,0)))</f>
        <v>458</v>
      </c>
      <c r="AA41" s="460" t="s">
        <v>2685</v>
      </c>
      <c r="AB41" s="461"/>
      <c r="AC41" s="461"/>
      <c r="BC41" s="250" t="n">
        <f aca="false">IF(A41="","",1)</f>
        <v>1</v>
      </c>
    </row>
    <row r="42" customFormat="false" ht="12.75" hidden="false" customHeight="false" outlineLevel="0" collapsed="false">
      <c r="A42" s="462" t="s">
        <v>1229</v>
      </c>
      <c r="B42" s="463"/>
      <c r="C42" s="464" t="n">
        <v>0.005</v>
      </c>
      <c r="D42" s="465" t="str">
        <f aca="false">IF(ISERROR(VLOOKUP($A42,'liste reference'!$A$7:$D$892,2,0)),IF(ISERROR(VLOOKUP($A42,'liste reference'!$B$7:$D$892,1,0)),"",VLOOKUP($A42,'liste reference'!$B$7:$D$892,1,0)),VLOOKUP($A42,'liste reference'!$A$7:$D$892,2,0))</f>
        <v>Juncus articulatus</v>
      </c>
      <c r="E42" s="465" t="e">
        <f aca="false">IF(D42="",0,VLOOKUP(D42,D$22:D41,1,0))</f>
        <v>#N/A</v>
      </c>
      <c r="F42" s="472" t="n">
        <f aca="false">($B42*$B$7+$C42*$C$7)/100</f>
        <v>0.00275</v>
      </c>
      <c r="G42" s="467" t="str">
        <f aca="false">IF(A42="","",IF(ISERROR(VLOOKUP($A42,'liste reference'!$A$7:$P$892,13,0)),IF(ISERROR(VLOOKUP($A42,'liste reference'!$B$7:$P$892,12,0)),"    -",VLOOKUP($A42,'liste reference'!$B$7:$P$892,12,0)),VLOOKUP($A42,'liste reference'!$A$7:$P$892,13,0)))</f>
        <v>PHg</v>
      </c>
      <c r="H42" s="449" t="n">
        <f aca="false">IF(A42="","x",IF(ISERROR(VLOOKUP($A42,'liste reference'!$A$7:$P$892,14,0)),IF(ISERROR(VLOOKUP($A42,'liste reference'!$B$7:$P$892,13,0)),"x",VLOOKUP($A42,'liste reference'!$B$7:$P$892,13,0)),VLOOKUP($A42,'liste reference'!$A$7:$P$892,14,0)))</f>
        <v>9</v>
      </c>
      <c r="I42" s="468" t="n">
        <f aca="false">IF(ISNUMBER(H42),IF(ISERROR(VLOOKUP($A42,'liste reference'!$A$7:$P$892,3,0)),IF(ISERROR(VLOOKUP($A42,'liste reference'!$B$7:$P$892,2,0)),"",VLOOKUP($A42,'liste reference'!$B$7:$P$892,2,0)),VLOOKUP($A42,'liste reference'!$A$7:$P$892,3,0)),"")</f>
        <v>0</v>
      </c>
      <c r="J42" s="451" t="n">
        <f aca="false">IF(ISNUMBER(H42),IF(ISERROR(VLOOKUP($A42,'liste reference'!$A$7:$P$892,4,0)),IF(ISERROR(VLOOKUP($A42,'liste reference'!$B$7:$P$892,3,0)),"",VLOOKUP($A42,'liste reference'!$B$7:$P$892,3,0)),VLOOKUP($A42,'liste reference'!$A$7:$P$892,4,0)),"")</f>
        <v>0</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Juncus articulatus</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169</v>
      </c>
      <c r="Q42" s="455" t="n">
        <f aca="false">IF(ISTEXT(H42),"",(B42*$B$7/100)+(C42*$C$7/100))</f>
        <v>0.00275</v>
      </c>
      <c r="R42" s="456" t="n">
        <f aca="false">IF(OR(ISTEXT(H42),Q42=0),"",IF(Q42&lt;0.1,1,IF(Q42&lt;1,2,IF(Q42&lt;10,3,IF(Q42&lt;50,4,IF(Q42&gt;=50,5,""))))))</f>
        <v>1</v>
      </c>
      <c r="S42" s="456" t="n">
        <f aca="false">IF(ISERROR(R42*I42),0,R42*I42)</f>
        <v>0</v>
      </c>
      <c r="T42" s="456" t="n">
        <f aca="false">IF(ISERROR(R42*I42*J42),0,R42*I42*J42)</f>
        <v>0</v>
      </c>
      <c r="U42" s="470" t="n">
        <f aca="false">IF(ISERROR(R42*J42),0,R42*J42)</f>
        <v>0</v>
      </c>
      <c r="V42" s="457" t="n">
        <v>0</v>
      </c>
      <c r="W42" s="471"/>
      <c r="Y42" s="459" t="str">
        <f aca="false">IF(A42="new.cod","NEWCOD",IF(AND((Z42=""),ISTEXT(A42)),A42,IF(Z42="","",INDEX('liste reference'!$A$7:$A$892,Z42))))</f>
        <v>JUNART</v>
      </c>
      <c r="Z42" s="250" t="n">
        <f aca="false">IF(ISERROR(MATCH(A42,'liste reference'!$A$7:$A$892,0)),IF(ISERROR(MATCH(A42,'liste reference'!$B$7:$B$892,0)),"",(MATCH(A42,'liste reference'!$B$7:$B$892,0))),(MATCH(A42,'liste reference'!$A$7:$A$892,0)))</f>
        <v>392</v>
      </c>
      <c r="AA42" s="460"/>
      <c r="AB42" s="461"/>
      <c r="AC42" s="461"/>
      <c r="BC42" s="250" t="n">
        <f aca="false">IF(A42="","",1)</f>
        <v>1</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71"/>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71"/>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71"/>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71"/>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71"/>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71"/>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71"/>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71"/>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71"/>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71"/>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71"/>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71"/>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71"/>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71"/>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71"/>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71"/>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71"/>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71"/>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71"/>
      <c r="X61" s="471"/>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71"/>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2686</v>
      </c>
      <c r="B63" s="463" t="n">
        <v>0.005</v>
      </c>
      <c r="C63" s="464" t="n">
        <v>0.005</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0.005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71"/>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71"/>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71"/>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71"/>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71"/>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71"/>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71"/>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71"/>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71"/>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71"/>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71"/>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71"/>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71"/>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71"/>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71"/>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71"/>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71"/>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71"/>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71"/>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Hérault</v>
      </c>
      <c r="B84" s="493" t="str">
        <f aca="false">C3</f>
        <v>Brissac</v>
      </c>
      <c r="C84" s="494" t="n">
        <f aca="false">A4</f>
        <v>41120</v>
      </c>
      <c r="D84" s="495" t="n">
        <f aca="false">IF(ISERROR(SUM($T$23:$T$82)/SUM($U$23:$U$82)),"",SUM($T$23:$T$82)/SUM($U$23:$U$82))</f>
        <v>11.6666666666667</v>
      </c>
      <c r="E84" s="496" t="n">
        <f aca="false">N13</f>
        <v>21</v>
      </c>
      <c r="F84" s="493" t="n">
        <f aca="false">N14</f>
        <v>20</v>
      </c>
      <c r="G84" s="493" t="n">
        <f aca="false">N15</f>
        <v>6</v>
      </c>
      <c r="H84" s="493" t="n">
        <f aca="false">N16</f>
        <v>10</v>
      </c>
      <c r="I84" s="493" t="n">
        <f aca="false">N17</f>
        <v>2</v>
      </c>
      <c r="J84" s="497" t="n">
        <f aca="false">N8</f>
        <v>10.1</v>
      </c>
      <c r="K84" s="495" t="n">
        <f aca="false">N9</f>
        <v>4.41170691396616</v>
      </c>
      <c r="L84" s="496" t="n">
        <f aca="false">N10</f>
        <v>0</v>
      </c>
      <c r="M84" s="496" t="n">
        <f aca="false">N11</f>
        <v>18</v>
      </c>
      <c r="N84" s="495" t="n">
        <f aca="false">O8</f>
        <v>1.6</v>
      </c>
      <c r="O84" s="495" t="n">
        <f aca="false">O9</f>
        <v>0.820782681668123</v>
      </c>
      <c r="P84" s="496" t="n">
        <f aca="false">O10</f>
        <v>0</v>
      </c>
      <c r="Q84" s="496" t="n">
        <f aca="false">O11</f>
        <v>3</v>
      </c>
      <c r="R84" s="496" t="n">
        <f aca="false">F21</f>
        <v>9.88</v>
      </c>
      <c r="S84" s="496" t="n">
        <f aca="false">K11</f>
        <v>0</v>
      </c>
      <c r="T84" s="496" t="n">
        <f aca="false">K12</f>
        <v>6</v>
      </c>
      <c r="U84" s="496" t="n">
        <f aca="false">K13</f>
        <v>8</v>
      </c>
      <c r="V84" s="498" t="n">
        <f aca="false">K14</f>
        <v>0</v>
      </c>
      <c r="W84" s="499" t="n">
        <f aca="false">K15</f>
        <v>6</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39</v>
      </c>
      <c r="T87" s="250"/>
      <c r="U87" s="250"/>
      <c r="V87" s="250"/>
    </row>
    <row r="88" customFormat="false" ht="12.75" hidden="true" customHeight="false" outlineLevel="0" collapsed="false">
      <c r="P88" s="250"/>
      <c r="Q88" s="250" t="s">
        <v>2691</v>
      </c>
      <c r="R88" s="250"/>
      <c r="S88" s="457" t="n">
        <f aca="false">VLOOKUP((S87),($S$23:$U$82),2,0)</f>
        <v>117</v>
      </c>
      <c r="T88" s="250"/>
      <c r="U88" s="250"/>
      <c r="V88" s="250"/>
    </row>
    <row r="89" customFormat="false" ht="12.75" hidden="false" customHeight="false" outlineLevel="0" collapsed="false">
      <c r="Q89" s="250" t="s">
        <v>2692</v>
      </c>
      <c r="R89" s="250"/>
      <c r="S89" s="457" t="n">
        <f aca="false">VLOOKUP((S87),($S$23:$U$82),3,0)</f>
        <v>9</v>
      </c>
      <c r="T89" s="250"/>
    </row>
    <row r="90" customFormat="false" ht="12.75" hidden="false" customHeight="false" outlineLevel="0" collapsed="false">
      <c r="Q90" s="250" t="s">
        <v>2693</v>
      </c>
      <c r="R90" s="250"/>
      <c r="S90" s="502" t="n">
        <f aca="false">IF(ISERROR(SUM($T$23:$T$82)/SUM($U$23:$U$82)),"",(SUM($T$23:$T$82)-S88)/(SUM($U$23:$U$82)-S89))</f>
        <v>11.3809523809524</v>
      </c>
      <c r="T90" s="250"/>
    </row>
    <row r="91" customFormat="false" ht="12.75" hidden="false" customHeight="false" outlineLevel="0" collapsed="false">
      <c r="Q91" s="456" t="s">
        <v>2694</v>
      </c>
      <c r="R91" s="456"/>
      <c r="S91" s="456" t="str">
        <f aca="false">INDEX('liste reference'!$A$7:$A$892,$T$91)</f>
        <v>CINDAN</v>
      </c>
      <c r="T91" s="250" t="n">
        <f aca="false">IF(ISERROR(MATCH($S$93,'liste reference'!$A$7:$A$892,0)),MATCH($S$93,'liste reference'!$B$7:$B$892,0),(MATCH($S$93,'liste reference'!$A$7:$A$892,0)))</f>
        <v>174</v>
      </c>
      <c r="U91" s="491"/>
    </row>
    <row r="92" customFormat="false" ht="12.75" hidden="false" customHeight="false" outlineLevel="0" collapsed="false">
      <c r="Q92" s="250" t="s">
        <v>2695</v>
      </c>
      <c r="R92" s="250"/>
      <c r="S92" s="250" t="n">
        <f aca="false">MATCH(S87,$S$23:$S$82,0)</f>
        <v>9</v>
      </c>
      <c r="T92" s="250"/>
    </row>
    <row r="93" customFormat="false" ht="12.75" hidden="false" customHeight="false" outlineLevel="0" collapsed="false">
      <c r="Q93" s="456" t="s">
        <v>2696</v>
      </c>
      <c r="R93" s="250"/>
      <c r="S93" s="456" t="str">
        <f aca="false">INDEX($A$23:$A$82,$S$92)</f>
        <v>CINDAN</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71"/>
      <c r="X23" s="471"/>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58"/>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71"/>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71"/>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71"/>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71"/>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71"/>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71"/>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71"/>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71"/>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71"/>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71"/>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71"/>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71"/>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71"/>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71"/>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71"/>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71"/>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71"/>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71"/>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71"/>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71"/>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71"/>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71"/>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71"/>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71"/>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71"/>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71"/>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71"/>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71"/>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71"/>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71"/>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71"/>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71"/>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71"/>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71"/>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71"/>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71"/>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71"/>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71"/>
      <c r="X62" s="471"/>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71"/>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71"/>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71"/>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71"/>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71"/>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71"/>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71"/>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71"/>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71"/>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71"/>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71"/>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71"/>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71"/>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71"/>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71"/>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71"/>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71"/>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71"/>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71"/>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2716</v>
      </c>
      <c r="G17" s="541"/>
      <c r="H17" s="540" t="s">
        <v>2716</v>
      </c>
      <c r="I17" s="542"/>
    </row>
    <row r="18" customFormat="false" ht="12.75" hidden="false" customHeight="false" outlineLevel="0" collapsed="false">
      <c r="A18" s="529" t="s">
        <v>78</v>
      </c>
      <c r="B18" s="530" t="s">
        <v>2717</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2626</v>
      </c>
      <c r="G21" s="541"/>
      <c r="H21" s="540" t="s">
        <v>2626</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2722</v>
      </c>
      <c r="G23" s="541"/>
      <c r="H23" s="540" t="s">
        <v>2722</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2685</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2014-09-22T11:48:22Z</dcterms:modified>
  <cp:revision>0</cp:revision>
  <dc:subject/>
  <dc:title>Feuille d'aide au calcul de l'IBMR</dc:title>
</cp:coreProperties>
</file>