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2062" sheetId="6" state="visible" r:id="rId8"/>
    <sheet name="jgjg" sheetId="7" state="hidden" r:id="rId9"/>
    <sheet name="liste codes réf" sheetId="8" state="hidden" r:id="rId10"/>
  </sheets>
  <definedNames>
    <definedName function="false" hidden="false" localSheetId="5" name="_xlnm.Print_Area" vbProcedure="false">'06182062'!$A$1:$Q$82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'06182062'!$A$1:$Q$82</definedName>
    <definedName function="false" hidden="false" localSheetId="5" name="_xlnm__FilterDatabase" vbProcedure="false">'06182062'!$A$1:$C$1415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<sst xmlns="http://schemas.openxmlformats.org/spreadsheetml/2006/main" count="8861" uniqueCount="3496">
  <si>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</si>
  <si>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</si>
  <si>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</si>
  <si>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</si>
  <si>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</si>
  <si>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</si>
  <si>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</si>
  <si>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</si>
  <si>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</si>
  <si>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</si>
  <si>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</si>
  <si>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</si>
  <si>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</si>
  <si>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</si>
  <si>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</si>
  <si>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</si>
  <si>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</si>
  <si>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</si>
  <si>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</si>
  <si>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</si>
  <si>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</si>
  <si>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</si>
  <si>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</si>
  <si>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</si>
  <si>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</si>
  <si>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</si>
  <si>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</si>
  <si>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</si>
  <si>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</si>
  <si>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</si>
  <si>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</si>
  <si>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</si>
  <si>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</si>
  <si>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</si>
  <si>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</si>
  <si>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</si>
  <si>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</si>
  <si>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</si>
  <si>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</si>
  <si>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</si>
  <si>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</si>
  <si>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</si>
  <si>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</si>
  <si>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</si>
  <si>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</si>
  <si>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</si>
  <si>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</si>
  <si>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</si>
  <si>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</si>
  <si>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</si>
  <si>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</si>
  <si>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</si>
  <si>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</si>
  <si>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</si>
  <si>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</si>
  <si>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</si>
  <si>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</si>
  <si>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</si>
  <si>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</si>
  <si>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</si>
  <si>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</si>
  <si>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</si>
  <si>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</si>
  <si>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</si>
  <si>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</si>
  <si>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</si>
  <si>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</si>
  <si>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</si>
  <si>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</si>
  <si>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</si>
  <si>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</si>
  <si>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</si>
  <si>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</si>
  <si>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</si>
  <si>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</si>
  <si>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</si>
  <si>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</si>
  <si>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</si>
  <si>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</si>
  <si>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</si>
  <si>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</si>
  <si>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</si>
  <si>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</si>
  <si>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</si>
  <si>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</si>
  <si>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</si>
  <si>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</si>
  <si>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</si>
  <si>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</si>
  <si>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</si>
  <si>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</si>
  <si>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</si>
  <si>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</si>
  <si>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</si>
  <si>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</si>
  <si>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</si>
  <si>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</si>
  <si>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</si>
  <si>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</si>
  <si>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</si>
  <si>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</si>
  <si>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</si>
  <si>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</si>
  <si>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</si>
  <si>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</si>
  <si>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</si>
  <si>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</si>
  <si>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</si>
  <si>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</si>
  <si>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</si>
  <si>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</si>
  <si>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</si>
  <si>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</si>
  <si>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</si>
  <si>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</si>
  <si>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</si>
  <si>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</si>
  <si>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</si>
  <si>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</si>
  <si>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</si>
  <si>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</si>
  <si>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</si>
  <si>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</si>
  <si>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</si>
  <si>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</si>
  <si>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</si>
  <si>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</si>
  <si>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</si>
  <si>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</si>
  <si>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</si>
  <si>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</si>
  <si>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</si>
  <si>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</si>
  <si>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</si>
  <si>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</si>
  <si>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</si>
  <si>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</si>
  <si>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</si>
  <si>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</si>
  <si>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</si>
  <si>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</si>
  <si>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</si>
  <si>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</si>
  <si>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</si>
  <si>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</si>
  <si>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</si>
  <si>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</si>
  <si>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</si>
  <si>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</si>
  <si>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</si>
  <si>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</si>
  <si>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</si>
  <si>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</si>
  <si>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</si>
  <si>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</si>
  <si>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</si>
  <si>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</si>
  <si>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</si>
  <si>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</si>
  <si>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</si>
  <si>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</si>
  <si>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</si>
  <si>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</si>
  <si>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</si>
  <si>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</si>
  <si>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</si>
  <si>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</si>
  <si>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</si>
  <si>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</si>
  <si>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</si>
  <si>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</si>
  <si>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</si>
  <si>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</si>
  <si>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</si>
  <si>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</si>
  <si>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</si>
  <si>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</si>
  <si>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</si>
  <si>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</si>
  <si>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</si>
  <si>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</si>
  <si>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</si>
  <si>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</si>
  <si>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</si>
  <si>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</si>
  <si>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</si>
  <si>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</si>
  <si>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</si>
  <si>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</si>
  <si>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</si>
  <si>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</si>
  <si>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</si>
  <si>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</si>
  <si>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</si>
  <si>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</si>
  <si>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</si>
  <si>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</si>
  <si>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</si>
  <si>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</si>
  <si>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</si>
  <si>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</si>
  <si>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</si>
  <si>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</si>
  <si>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</si>
  <si>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</si>
  <si>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</si>
  <si>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</si>
  <si>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</si>
  <si>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</si>
  <si>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</si>
  <si>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</si>
  <si>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</si>
  <si>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</si>
  <si>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</si>
  <si>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</si>
  <si>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</si>
  <si>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</si>
  <si>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</si>
  <si>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</si>
  <si>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</si>
  <si>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</si>
  <si>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</si>
  <si>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</si>
  <si>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</si>
  <si>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</si>
  <si>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</si>
  <si>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</si>
  <si>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</si>
  <si>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</si>
  <si>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</si>
  <si>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</si>
  <si>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</si>
  <si>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</si>
  <si>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</si>
  <si>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</si>
  <si>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</si>
  <si>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</si>
  <si>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</si>
  <si>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</si>
  <si>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</si>
  <si>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</si>
  <si>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</si>
  <si>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</si>
  <si>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</si>
  <si>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</si>
  <si>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</si>
  <si>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</si>
  <si>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</si>
  <si>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</si>
  <si>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</si>
  <si>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</si>
  <si>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</si>
  <si>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</si>
  <si>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</si>
  <si>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</si>
  <si>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</si>
  <si>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</si>
  <si>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</si>
  <si>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</si>
  <si>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</si>
  <si>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</si>
  <si>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</si>
  <si>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</si>
  <si>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</si>
  <si>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</si>
  <si>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</si>
  <si>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</si>
  <si>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</si>
  <si>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</si>
  <si>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</si>
  <si>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</si>
  <si>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</si>
  <si>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</si>
  <si>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</si>
  <si>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</si>
  <si>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</si>
  <si>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</si>
  <si>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</si>
  <si>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</si>
  <si>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</si>
  <si>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</si>
  <si>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</si>
  <si>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</si>
  <si>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</si>
  <si>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</si>
  <si>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</si>
  <si>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</si>
  <si>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</si>
  <si>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</si>
  <si>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</si>
  <si>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</si>
  <si>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</si>
  <si>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</si>
  <si>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</si>
  <si>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</si>
  <si>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</si>
  <si>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</si>
  <si>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</si>
  <si>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</si>
  <si>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</si>
  <si>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</si>
  <si>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</si>
  <si>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</si>
  <si>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</si>
  <si>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</si>
  <si>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</si>
  <si>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</si>
  <si>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</si>
  <si>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</si>
  <si>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</si>
  <si>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</si>
  <si>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</si>
  <si>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</si>
  <si>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</si>
  <si>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</si>
  <si>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</si>
  <si>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</si>
  <si>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</si>
  <si>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</si>
  <si>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</si>
  <si>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</si>
  <si>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</si>
  <si>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</si>
  <si>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</si>
  <si>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</si>
  <si>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</si>
  <si>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</si>
  <si>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</si>
  <si>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</si>
  <si>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</si>
  <si>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</si>
  <si>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</si>
  <si>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</si>
  <si>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</si>
  <si>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</si>
  <si>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</si>
  <si>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</si>
  <si>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</si>
  <si>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</si>
  <si>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</si>
  <si>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</si>
  <si>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</si>
  <si>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</si>
  <si>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</si>
  <si>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</si>
  <si>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</si>
  <si>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</si>
  <si>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</si>
  <si>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</si>
  <si>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</si>
  <si>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</si>
  <si>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</si>
  <si>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</si>
  <si>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</si>
  <si>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</si>
  <si>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</si>
  <si>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</si>
  <si>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</si>
  <si>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</si>
  <si>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</si>
  <si>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</si>
  <si>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</si>
  <si>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</si>
  <si>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</si>
  <si>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</si>
  <si>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</si>
  <si>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</si>
  <si>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</si>
  <si>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</si>
  <si>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</si>
  <si>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</si>
  <si>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</si>
  <si>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</si>
  <si>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</si>
  <si>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</si>
  <si>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</si>
  <si>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</si>
  <si>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</si>
  <si>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</si>
  <si>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</si>
  <si>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</si>
  <si>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</si>
  <si>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</si>
  <si>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</si>
  <si>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</si>
  <si>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</si>
  <si>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</si>
  <si>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</si>
  <si>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</si>
  <si>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</si>
  <si>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</si>
  <si>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</si>
  <si>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</si>
  <si>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</si>
  <si>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</si>
  <si>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</si>
  <si>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</si>
  <si>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</si>
  <si>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</si>
  <si>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</si>
  <si>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</si>
  <si>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</si>
  <si>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</si>
  <si>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</si>
  <si>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</si>
  <si>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</si>
  <si>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</si>
  <si>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</si>
  <si>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</si>
  <si>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</si>
  <si>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</si>
  <si>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</si>
  <si>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</si>
  <si>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</si>
  <si>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</si>
  <si>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</si>
  <si>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</si>
  <si>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</si>
  <si>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</si>
  <si>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</si>
  <si>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</si>
  <si>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</si>
  <si>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</si>
  <si>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</si>
  <si>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</si>
  <si>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</si>
  <si>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</si>
  <si>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</si>
  <si>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</si>
  <si>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</si>
  <si>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</si>
  <si>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</si>
  <si>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</si>
  <si>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</si>
  <si>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</si>
  <si>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</si>
  <si>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</si>
  <si>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</si>
  <si>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</si>
  <si>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</si>
  <si>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</si>
  <si>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</si>
  <si>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</si>
  <si>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</si>
  <si>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</si>
  <si>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</si>
  <si>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</si>
  <si>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</si>
  <si>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</si>
  <si>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</si>
  <si>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</si>
  <si>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</si>
  <si>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</si>
  <si>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</si>
  <si>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</si>
  <si>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</si>
  <si>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</si>
  <si>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</si>
  <si>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</si>
  <si>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</si>
  <si>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</si>
  <si>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</si>
  <si>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</si>
  <si>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</si>
  <si>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</si>
  <si>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</si>
  <si>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</si>
  <si>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</si>
  <si>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</si>
  <si>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</si>
  <si>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</si>
  <si>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</si>
  <si>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</si>
  <si>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</si>
  <si>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</si>
  <si>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</si>
  <si>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</si>
  <si>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</si>
  <si>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</si>
  <si>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</si>
  <si>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</si>
  <si>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</si>
  <si>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</si>
  <si>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</si>
  <si>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</si>
  <si>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</si>
  <si>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</si>
  <si>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</si>
  <si>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</si>
  <si>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</si>
  <si>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</si>
  <si>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</si>
  <si>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</si>
  <si>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</si>
  <si>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</si>
  <si>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</si>
  <si>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</si>
  <si>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</si>
  <si>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</si>
  <si>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</si>
  <si>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</si>
  <si>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</si>
  <si>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</si>
  <si>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</si>
  <si>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</si>
  <si>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</si>
  <si>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</si>
  <si>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</si>
  <si>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</si>
  <si>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</si>
  <si>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</si>
  <si>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</si>
  <si>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</si>
  <si>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</si>
  <si>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</si>
  <si>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</si>
  <si>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</si>
  <si>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</si>
  <si>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</si>
  <si>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</si>
  <si>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</si>
  <si>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</si>
  <si>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</si>
  <si>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</si>
  <si>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</si>
  <si>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</si>
  <si>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</si>
  <si>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</si>
  <si>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</si>
  <si>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</si>
  <si>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</si>
  <si>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</si>
  <si>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</si>
  <si>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</si>
  <si>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</si>
  <si>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</si>
  <si>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</si>
  <si>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</si>
  <si>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</si>
  <si>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</si>
  <si>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</si>
  <si>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</si>
  <si>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</si>
  <si>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</si>
  <si>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</si>
  <si>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</si>
  <si>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</si>
  <si>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</si>
  <si>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</si>
  <si>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</si>
  <si>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</si>
  <si>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</si>
  <si>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</si>
  <si>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</si>
  <si>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</si>
  <si>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</si>
  <si>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</si>
  <si>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</si>
  <si>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</si>
  <si>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</si>
  <si>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</si>
  <si>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</si>
  <si>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</si>
  <si>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</si>
  <si>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</si>
  <si>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</si>
  <si>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</si>
  <si>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</si>
  <si>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</si>
  <si>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</si>
  <si>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</si>
  <si>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</si>
  <si>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</si>
  <si>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</si>
  <si>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</si>
  <si>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</si>
  <si>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</si>
  <si>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</si>
  <si>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</si>
  <si>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</si>
  <si>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</si>
  <si>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</si>
  <si>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</si>
  <si>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</si>
  <si>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</si>
  <si>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</si>
  <si>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</si>
  <si>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</si>
  <si>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</si>
  <si>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</si>
  <si>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</si>
  <si>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</si>
  <si>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</si>
  <si>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</si>
  <si>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</si>
  <si>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</si>
  <si>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</si>
  <si>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</si>
  <si>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</si>
  <si>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</si>
  <si>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</si>
  <si>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</si>
  <si>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</si>
  <si>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</si>
  <si>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</si>
  <si>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</si>
  <si>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</si>
  <si>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</si>
  <si>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</si>
  <si>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</si>
  <si>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</si>
  <si>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</si>
  <si>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</si>
  <si>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</si>
  <si>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</si>
  <si>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</si>
  <si>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</si>
  <si>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</si>
  <si>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</si>
  <si>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</si>
  <si>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</si>
  <si>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</si>
  <si>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</si>
  <si>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</si>
  <si>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</si>
  <si>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</si>
  <si>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</si>
  <si>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</si>
  <si>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</si>
  <si>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</si>
  <si>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</si>
  <si>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</si>
  <si>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</si>
  <si>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</si>
  <si>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</si>
  <si>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</si>
  <si>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</si>
  <si>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</si>
  <si>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</si>
  <si>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</si>
  <si>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</si>
  <si>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</si>
  <si>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</si>
  <si>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</si>
  <si>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</si>
  <si>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</si>
  <si>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</si>
  <si>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</si>
  <si>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</si>
  <si>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</si>
  <si>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</si>
  <si>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</si>
  <si>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</si>
  <si>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</si>
  <si>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</si>
  <si>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</si>
  <si>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</si>
  <si>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</si>
  <si>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</si>
  <si>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</si>
  <si>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</si>
  <si>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</si>
  <si>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</si>
  <si>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</si>
  <si>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</si>
  <si>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</si>
  <si>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</si>
  <si>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</si>
  <si>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</si>
  <si>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</si>
  <si>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</si>
  <si>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</si>
  <si>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</si>
  <si>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</si>
  <si>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</si>
  <si>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</si>
  <si>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</si>
  <si>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</si>
  <si>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</si>
  <si>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</si>
  <si>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</si>
  <si>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</si>
  <si>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</si>
  <si>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</si>
  <si>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</si>
  <si>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</si>
  <si>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</si>
  <si>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</si>
  <si>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</si>
  <si>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</si>
  <si>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</si>
  <si>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</si>
  <si>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</si>
  <si>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</si>
  <si>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</si>
  <si>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</si>
  <si>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</si>
  <si>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</si>
  <si>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</si>
  <si>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</si>
  <si>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</si>
  <si>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</si>
  <si>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</si>
  <si>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</si>
  <si>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</si>
  <si>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</si>
  <si>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</si>
  <si>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</si>
  <si>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</si>
  <si>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</si>
  <si>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</si>
  <si>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</si>
  <si>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</si>
  <si>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</si>
  <si>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</si>
  <si>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</si>
  <si>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</si>
  <si>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</si>
  <si>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</si>
  <si>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</si>
  <si>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</si>
  <si>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</si>
  <si>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</si>
  <si>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</si>
  <si>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</si>
  <si>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</si>
  <si>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</si>
  <si>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</si>
  <si>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</si>
  <si>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</si>
  <si>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</si>
  <si>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</si>
  <si>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</si>
  <si>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</si>
  <si>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</si>
  <si>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</si>
  <si>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</si>
  <si>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</si>
  <si>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</si>
  <si>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</si>
  <si>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</si>
  <si>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</si>
  <si>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</si>
  <si>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</si>
  <si>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</si>
  <si>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</si>
  <si>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</si>
  <si>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</si>
  <si>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</si>
  <si>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</si>
  <si>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</si>
  <si>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</si>
  <si>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</si>
  <si>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</si>
  <si>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</si>
  <si>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</si>
  <si>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</si>
  <si>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</si>
  <si>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</si>
  <si>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</si>
  <si>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</si>
  <si>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</si>
  <si>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</si>
  <si>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</si>
  <si>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</si>
  <si>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</si>
  <si>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</si>
  <si>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</si>
  <si>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</si>
  <si>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</si>
  <si>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</si>
  <si>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</si>
  <si>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</si>
  <si>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</si>
  <si>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</si>
  <si>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</si>
  <si>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</si>
  <si>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</si>
  <si>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</si>
  <si>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</si>
  <si>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</si>
  <si>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</si>
  <si>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</si>
  <si>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</si>
  <si>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</si>
  <si>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</si>
  <si>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</si>
  <si>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</si>
  <si>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</si>
  <si>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</si>
  <si>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</si>
  <si>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</si>
  <si>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</si>
  <si>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</si>
  <si>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</si>
  <si>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</si>
  <si>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</si>
  <si>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</si>
  <si>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</si>
  <si>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</si>
  <si>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</si>
  <si>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</si>
  <si>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</si>
  <si>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</si>
  <si>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</si>
  <si>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</si>
  <si>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</si>
  <si>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</si>
  <si>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</si>
  <si>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</si>
  <si>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</si>
  <si>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</si>
  <si>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</si>
  <si>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</si>
  <si>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</si>
  <si>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</si>
  <si>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</si>
  <si>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</si>
  <si>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</si>
  <si>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</si>
  <si>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</si>
  <si>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</si>
  <si>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</si>
  <si>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</si>
  <si>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</si>
  <si>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</si>
  <si>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</si>
  <si>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</si>
  <si>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</si>
  <si>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</si>
  <si>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</si>
  <si>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</si>
  <si>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</si>
  <si>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</si>
  <si>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</si>
  <si>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</si>
  <si>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</si>
  <si>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</si>
  <si>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</si>
  <si>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</si>
  <si>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</si>
  <si>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</si>
  <si>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</si>
  <si>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</si>
  <si>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</si>
  <si>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</si>
  <si>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</si>
  <si>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</si>
  <si>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</si>
  <si>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</si>
  <si>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</si>
  <si>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</si>
  <si>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</si>
  <si>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</si>
  <si>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</si>
  <si>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</si>
  <si>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</si>
  <si>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</si>
  <si>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</si>
  <si>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</si>
  <si>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</si>
  <si>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</si>
  <si>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</si>
  <si>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</si>
  <si>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</si>
  <si>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</si>
  <si>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</si>
  <si>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</si>
  <si>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</si>
  <si>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</si>
  <si>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</si>
  <si>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</si>
  <si>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</si>
  <si>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</si>
  <si>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</si>
  <si>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</si>
  <si>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</si>
  <si>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</si>
  <si>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</si>
  <si>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</si>
  <si>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</si>
  <si>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</si>
  <si>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</si>
  <si>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</si>
  <si>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</si>
  <si>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</si>
  <si>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</si>
  <si>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</si>
  <si>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</si>
  <si>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</si>
  <si>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</si>
  <si>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</si>
  <si>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</si>
  <si>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</si>
  <si>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</si>
  <si>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</si>
  <si>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</si>
  <si>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</si>
  <si>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</si>
  <si>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</si>
  <si>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</si>
  <si>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</si>
  <si>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</si>
  <si>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</si>
  <si>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</si>
  <si>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</si>
  <si>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</si>
  <si>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</si>
  <si>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</si>
  <si>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</si>
  <si>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</si>
  <si>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</si>
  <si>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</si>
  <si>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</si>
  <si>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</si>
  <si>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</si>
  <si>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</si>
  <si>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</si>
  <si>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</si>
  <si>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</si>
  <si>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</si>
  <si>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</si>
  <si>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</si>
  <si>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</si>
  <si>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</si>
  <si>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</si>
  <si>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</si>
  <si>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</si>
  <si>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</si>
  <si>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</si>
  <si>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</si>
  <si>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</si>
  <si>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</si>
  <si>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</si>
  <si>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</si>
  <si>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</si>
  <si>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</si>
  <si>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</si>
  <si>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</si>
  <si>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</si>
  <si>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</si>
  <si>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</si>
  <si>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</si>
  <si>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</si>
  <si>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</si>
  <si>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</si>
  <si>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</si>
  <si>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</si>
  <si>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</si>
  <si>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</si>
  <si>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</si>
  <si>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</si>
  <si>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</si>
  <si>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</si>
  <si>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</si>
  <si>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</si>
  <si>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</si>
  <si>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</si>
  <si>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</si>
  <si>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</si>
  <si>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</si>
  <si>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</si>
  <si>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</si>
  <si>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</si>
  <si>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</si>
  <si>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</si>
  <si>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</si>
  <si>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</si>
  <si>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</si>
  <si>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</si>
  <si>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</si>
  <si>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</si>
  <si>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</si>
  <si>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</si>
  <si>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</si>
  <si>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</si>
  <si>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</si>
  <si>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</si>
  <si>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</si>
  <si>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</si>
  <si>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</si>
  <si>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</si>
  <si>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</si>
  <si>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</si>
  <si>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</si>
  <si>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</si>
  <si>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</si>
  <si>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</si>
  <si>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</si>
  <si>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</si>
  <si>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</si>
  <si>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</si>
  <si>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</si>
  <si>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</si>
  <si>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</si>
  <si>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</si>
  <si>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</si>
  <si>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</si>
  <si>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</si>
  <si>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</si>
  <si>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</si>
  <si>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</si>
  <si>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</si>
  <si>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</si>
  <si>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</si>
  <si>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</si>
  <si>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</si>
  <si>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</si>
  <si>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</si>
  <si>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</si>
  <si>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</si>
  <si>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</si>
  <si>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</si>
  <si>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</si>
  <si>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</si>
  <si>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</si>
  <si>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</si>
  <si>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</si>
  <si>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</si>
  <si>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</si>
  <si>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</si>
  <si>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</si>
  <si>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</si>
  <si>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</si>
  <si>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</si>
  <si>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</si>
  <si>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</si>
  <si>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</si>
  <si>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</si>
  <si>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</si>
  <si>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</si>
  <si>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</si>
  <si>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</si>
  <si>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</si>
  <si>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</si>
  <si>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</si>
  <si>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</si>
  <si>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</si>
  <si>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</si>
  <si>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</si>
  <si>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</si>
  <si>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</si>
  <si>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</si>
  <si>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</si>
  <si>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</si>
  <si>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</si>
  <si>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</si>
  <si>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</si>
  <si>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</si>
  <si>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</si>
  <si>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</si>
  <si>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</si>
  <si>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</si>
  <si>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</si>
  <si>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</si>
  <si>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</si>
  <si>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</si>
  <si>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</si>
  <si>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</si>
  <si>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</si>
  <si>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</si>
  <si>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</si>
  <si>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</si>
  <si>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</si>
  <si>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</si>
  <si>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</si>
  <si>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</si>
  <si>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</si>
  <si>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</si>
  <si>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</si>
  <si>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</si>
  <si>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</si>
  <si>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</si>
  <si>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</si>
  <si>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</si>
  <si>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</si>
  <si>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</si>
  <si>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</si>
  <si>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</si>
  <si>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</si>
  <si>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</si>
  <si>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</si>
  <si>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</si>
  <si>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</si>
  <si>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</si>
  <si>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</si>
  <si>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</si>
  <si>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</si>
  <si>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</si>
  <si>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</si>
  <si>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</si>
  <si>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</si>
  <si>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</si>
  <si>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</si>
  <si>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</si>
  <si>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</si>
  <si>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</si>
  <si>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</si>
  <si>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</si>
  <si>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</si>
  <si>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</si>
  <si>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</si>
  <si>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</si>
  <si>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</si>
  <si>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</si>
  <si>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</si>
  <si>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</si>
  <si>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</si>
  <si>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</si>
  <si>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</si>
  <si>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</si>
  <si>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</si>
  <si>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</si>
  <si>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</si>
  <si>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</si>
  <si>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</si>
  <si>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</si>
  <si>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</si>
  <si>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</si>
  <si>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</si>
  <si>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</si>
  <si>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</si>
  <si>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</si>
  <si>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</si>
  <si>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</si>
  <si>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</si>
  <si>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</si>
  <si>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</si>
  <si>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</si>
  <si>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</si>
  <si>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</si>
  <si>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</si>
  <si>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</si>
  <si>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</si>
  <si>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</si>
  <si>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</si>
  <si>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</si>
  <si>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</si>
  <si>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</si>
  <si>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</si>
  <si>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</si>
  <si>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</si>
  <si>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</si>
  <si>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</si>
  <si>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</si>
  <si>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</si>
  <si>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</si>
  <si>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</si>
  <si>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</si>
  <si>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</si>
  <si>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</si>
  <si>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</si>
  <si>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</si>
  <si>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</si>
  <si>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</si>
  <si>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</si>
  <si>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</si>
  <si>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</si>
  <si>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</si>
  <si>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</si>
  <si>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</si>
  <si>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</si>
  <si>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</si>
  <si>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</si>
  <si>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</si>
  <si>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</si>
  <si>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</si>
  <si>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</si>
  <si>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</si>
  <si>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</si>
  <si>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</si>
  <si>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</si>
  <si>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</si>
  <si>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</si>
  <si>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</si>
  <si>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</si>
  <si>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</si>
  <si>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</si>
  <si>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</si>
  <si>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</si>
  <si>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</si>
  <si>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</si>
  <si>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</si>
  <si>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</si>
  <si>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</si>
  <si>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</si>
  <si>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</si>
  <si>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</si>
  <si>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</si>
  <si>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</si>
  <si>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</si>
  <si>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</si>
  <si>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</si>
  <si>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</si>
  <si>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</si>
  <si>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</si>
  <si>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</si>
  <si>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</si>
  <si>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</si>
  <si>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</si>
  <si>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</si>
  <si>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</si>
  <si>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</si>
  <si>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</si>
  <si>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</si>
  <si>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</si>
  <si>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</si>
  <si>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</si>
  <si>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</si>
  <si>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</si>
  <si>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</si>
  <si>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</si>
  <si>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</si>
  <si>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</si>
  <si>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</si>
  <si>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</si>
  <si>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</si>
  <si>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</si>
  <si>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</si>
  <si>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</si>
  <si>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</si>
  <si>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</si>
  <si>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</si>
  <si>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</si>
  <si>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</si>
  <si>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</si>
  <si>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</si>
  <si>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</si>
  <si>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</si>
  <si>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</si>
  <si>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</si>
  <si>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</si>
  <si>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</si>
  <si>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</si>
  <si>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</si>
  <si>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</si>
  <si>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</si>
  <si>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</si>
  <si>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</si>
  <si>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</si>
  <si>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</si>
  <si>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</si>
  <si>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</si>
  <si>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</si>
  <si>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</si>
  <si>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</si>
  <si>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</si>
  <si>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</si>
  <si>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</si>
  <si>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</si>
  <si>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</si>
  <si>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</si>
  <si>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</si>
  <si>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</si>
  <si>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</si>
  <si>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</si>
  <si>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</si>
  <si>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</si>
  <si>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</si>
  <si>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</si>
  <si>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</si>
  <si>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</si>
  <si>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</si>
  <si>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</si>
  <si>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</si>
  <si>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</si>
  <si>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</si>
  <si>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</si>
  <si>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</si>
  <si>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</si>
  <si>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</si>
  <si>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</si>
  <si>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</si>
  <si>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</si>
  <si>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</si>
  <si>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</si>
  <si>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</si>
  <si>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</si>
  <si>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</si>
  <si>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</si>
  <si>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</si>
  <si>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</si>
  <si>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</si>
  <si>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</si>
  <si>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</si>
  <si>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</si>
  <si>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</si>
  <si>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</si>
  <si>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</si>
  <si>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</si>
  <si>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</si>
  <si>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</si>
  <si>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</si>
  <si>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</si>
  <si>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</si>
  <si>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</si>
  <si>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</si>
  <si>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</si>
  <si>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</si>
  <si>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</si>
  <si>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</si>
  <si>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</si>
  <si>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</si>
  <si>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</si>
  <si>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</si>
  <si>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</si>
  <si>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</si>
  <si>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</si>
  <si>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</si>
  <si>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</si>
  <si>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</si>
  <si>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</si>
  <si>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</si>
  <si>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</si>
  <si>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</si>
  <si>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</si>
  <si>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</si>
  <si>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</si>
  <si>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</si>
  <si>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</si>
  <si>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</si>
  <si>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</si>
  <si>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</si>
  <si>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</si>
  <si>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</si>
  <si>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</si>
  <si>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</si>
  <si>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</si>
  <si>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</si>
  <si>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</si>
  <si>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</si>
  <si>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</si>
  <si>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</si>
  <si>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</si>
  <si>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</si>
  <si>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</si>
  <si>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</si>
  <si>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</si>
  <si>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</si>
  <si>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</si>
  <si>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</si>
  <si>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</si>
  <si>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</si>
  <si>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</si>
  <si>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</si>
  <si>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</si>
  <si>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</si>
  <si>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</si>
  <si>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</si>
  <si>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</si>
  <si>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</si>
  <si>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</si>
  <si>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</si>
  <si>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</si>
  <si>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</si>
  <si>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</si>
  <si>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</si>
  <si>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</si>
  <si>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</si>
  <si>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</si>
  <si>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</si>
  <si>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</si>
  <si>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</si>
  <si>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</si>
  <si>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</si>
  <si>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</si>
  <si>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</si>
  <si>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</si>
  <si>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</si>
  <si>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</si>
  <si>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</si>
  <si>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</si>
  <si>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</si>
  <si>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</si>
  <si>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</si>
  <si>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</si>
  <si>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</si>
  <si>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</si>
  <si>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</si>
  <si>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</si>
  <si>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</si>
  <si>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</si>
  <si>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</si>
  <si>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</si>
  <si>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</si>
  <si>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</si>
  <si>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</si>
  <si>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</si>
  <si>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</si>
  <si>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</si>
  <si>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</si>
  <si>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</si>
  <si>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</si>
  <si>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</si>
  <si>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</si>
  <si>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</si>
  <si>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</si>
  <si>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</si>
  <si>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</si>
  <si>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</si>
  <si>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</si>
  <si>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</si>
  <si>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</si>
  <si>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</si>
  <si>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</si>
  <si>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</si>
  <si>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</si>
  <si>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</si>
  <si>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</si>
  <si>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</si>
  <si>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</si>
  <si>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</si>
  <si>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</si>
  <si>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</si>
  <si>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</si>
  <si>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</si>
  <si>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</si>
  <si>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</si>
  <si>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</si>
  <si>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</si>
  <si>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</si>
  <si>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</si>
  <si>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</si>
  <si>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</si>
  <si>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</si>
  <si>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</si>
  <si>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</si>
  <si>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</si>
  <si>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</si>
  <si>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</si>
  <si>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</si>
  <si>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</si>
  <si>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</si>
  <si>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</si>
  <si>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</si>
  <si>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</si>
  <si>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</si>
  <si>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</si>
  <si>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</si>
  <si>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</si>
  <si>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</si>
  <si>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</si>
  <si>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</si>
  <si>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</si>
  <si>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</si>
  <si>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</si>
  <si>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</si>
  <si>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</si>
  <si>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</si>
  <si>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</si>
  <si>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</si>
  <si>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</si>
  <si>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</si>
  <si>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</si>
  <si>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</si>
  <si>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</si>
  <si>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</si>
  <si>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</si>
  <si>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</si>
  <si>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</si>
  <si>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</si>
  <si>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</si>
  <si>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</si>
  <si>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</si>
  <si>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</si>
  <si>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</si>
  <si>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</si>
  <si>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</si>
  <si>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</si>
  <si>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</si>
  <si>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</si>
  <si>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</si>
  <si>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</si>
  <si>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</si>
  <si>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</si>
  <si>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</si>
  <si>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</si>
  <si>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</si>
  <si>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</si>
  <si>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</si>
  <si>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</si>
  <si>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</si>
  <si>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</si>
  <si>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</si>
  <si>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</si>
  <si>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</si>
  <si>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</si>
  <si>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</si>
  <si>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</si>
  <si>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</si>
  <si>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</si>
  <si>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</si>
  <si>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</si>
  <si>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</si>
  <si>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</si>
  <si>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</si>
  <si>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</si>
  <si>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</si>
  <si>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</si>
  <si>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</si>
  <si>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</si>
  <si>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</si>
  <si>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</si>
  <si>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</si>
  <si>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</si>
  <si>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</si>
  <si>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</si>
  <si>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</si>
  <si>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</si>
  <si>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</si>
  <si>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</si>
  <si>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</si>
  <si>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</si>
  <si>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</si>
  <si>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</si>
  <si>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</si>
  <si>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</si>
  <si>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</si>
  <si>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</si>
  <si>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</si>
  <si>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</si>
  <si>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</si>
  <si>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</si>
  <si>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</si>
  <si>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</si>
  <si>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</si>
  <si>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</si>
  <si>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</si>
  <si>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</si>
  <si>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</si>
  <si>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</si>
  <si>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</si>
  <si>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</si>
  <si>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</si>
  <si>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</si>
  <si>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</si>
  <si>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</si>
  <si>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</si>
  <si>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</si>
  <si>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</si>
  <si>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</si>
  <si>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</si>
  <si>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</si>
  <si>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</si>
  <si>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</si>
  <si>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</si>
  <si>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</si>
  <si>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</si>
  <si>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</si>
  <si>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</si>
  <si>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</si>
  <si>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</si>
  <si>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</si>
  <si>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</si>
  <si>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</si>
  <si>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</si>
  <si>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</si>
  <si>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</si>
  <si>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</si>
  <si>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</si>
  <si>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</si>
  <si>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</si>
  <si>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</si>
  <si>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</si>
  <si>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</si>
  <si>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</si>
  <si>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</si>
  <si>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</si>
  <si>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</si>
  <si>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</si>
  <si>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</si>
  <si>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</si>
  <si>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</si>
  <si>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</si>
  <si>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</si>
  <si>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</si>
  <si>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</si>
  <si>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</si>
  <si>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</si>
  <si>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</si>
  <si>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</si>
  <si>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</si>
  <si>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</si>
  <si>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</si>
  <si>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</si>
  <si>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</si>
  <si>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</si>
  <si>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</si>
  <si>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</si>
  <si>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</si>
  <si>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</si>
  <si>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</si>
  <si>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</si>
  <si>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</si>
  <si>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</si>
  <si>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</si>
  <si>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</si>
  <si>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</si>
  <si>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</si>
  <si>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</si>
  <si>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</si>
  <si>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</si>
  <si>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</si>
  <si>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</si>
  <si>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</si>
  <si>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</si>
  <si>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</si>
  <si>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</si>
  <si>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</si>
  <si>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</si>
  <si>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</si>
  <si>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</si>
  <si>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</si>
  <si>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</si>
  <si>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</si>
  <si>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</si>
  <si>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</si>
  <si>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</si>
  <si>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</si>
  <si>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</si>
  <si>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</si>
  <si>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</si>
  <si>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</si>
  <si>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</si>
  <si>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</si>
  <si>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</si>
  <si>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</si>
  <si>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</si>
  <si>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</si>
  <si>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</si>
  <si>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</si>
  <si>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</si>
  <si>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</si>
  <si>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</si>
  <si>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</si>
  <si>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</si>
  <si>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</si>
  <si>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</si>
  <si>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</si>
  <si>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</si>
  <si>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</si>
  <si>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</si>
  <si>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</si>
  <si>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</si>
  <si>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</si>
  <si>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</si>
  <si>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</si>
  <si>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</si>
  <si>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</si>
  <si>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</si>
  <si>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</si>
  <si>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</si>
  <si>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</si>
  <si>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</si>
  <si>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</si>
  <si>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</si>
  <si>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</si>
  <si>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</si>
  <si>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</si>
  <si>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</si>
  <si>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</si>
  <si>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</si>
  <si>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</si>
  <si>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</si>
  <si>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</si>
  <si>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</si>
  <si>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</si>
  <si>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</si>
  <si>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</si>
  <si>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</si>
  <si>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</si>
  <si>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</si>
  <si>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</si>
  <si>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</si>
  <si>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</si>
  <si>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</si>
  <si>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</si>
  <si>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</si>
  <si>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</si>
  <si>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</si>
  <si>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</si>
  <si>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</si>
  <si>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</si>
  <si>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</si>
  <si>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</si>
  <si>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</si>
  <si>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</si>
  <si>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</si>
  <si>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</si>
  <si>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</si>
  <si>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</si>
  <si>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</si>
  <si>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</si>
  <si>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</si>
  <si>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</si>
  <si>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</si>
  <si>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</si>
  <si>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</si>
  <si>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</si>
  <si>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</si>
  <si>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</si>
  <si>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</si>
  <si>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</si>
  <si>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</si>
  <si>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</si>
  <si>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</si>
  <si>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</si>
  <si>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</si>
  <si>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</si>
  <si>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</si>
  <si>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</si>
  <si>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</si>
  <si>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</si>
  <si>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</si>
  <si>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</si>
  <si>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</si>
  <si>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</si>
  <si>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</si>
  <si>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</si>
  <si>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</si>
  <si>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</si>
  <si>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</si>
  <si>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</si>
  <si>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</si>
  <si>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</si>
  <si>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</si>
  <si>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</si>
  <si>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</si>
  <si>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</si>
  <si>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</si>
  <si>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</si>
  <si>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</si>
  <si>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</si>
  <si>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</si>
  <si>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</si>
  <si>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</si>
  <si>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</si>
  <si>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</si>
  <si>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</si>
  <si>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</si>
  <si>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</si>
  <si>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</si>
  <si>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</si>
  <si>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</si>
  <si>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</si>
  <si>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</si>
  <si>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</si>
  <si>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</si>
  <si>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</si>
  <si>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</si>
  <si>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</si>
  <si>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</si>
  <si>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</si>
  <si>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</si>
  <si>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</si>
  <si>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</si>
  <si>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</si>
  <si>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</si>
  <si>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</si>
  <si>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</si>
  <si>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</si>
  <si>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</si>
  <si>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</si>
  <si>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</si>
  <si>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</si>
  <si>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</si>
  <si>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</si>
  <si>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</si>
  <si>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</si>
  <si>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</si>
  <si>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</si>
  <si>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</si>
  <si>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</si>
  <si>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</si>
  <si>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</si>
  <si>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</si>
  <si>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</si>
  <si>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</si>
  <si>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</si>
  <si>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</si>
  <si>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</si>
  <si>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</si>
  <si>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</si>
  <si>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</si>
  <si>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</si>
  <si>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</si>
  <si>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</si>
  <si>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</si>
  <si>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</si>
  <si>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</si>
  <si>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</si>
  <si>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</si>
  <si>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</si>
  <si>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</si>
  <si>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</si>
  <si>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</si>
  <si>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</si>
  <si>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</si>
  <si>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</si>
  <si>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</si>
  <si>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</si>
  <si>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</si>
  <si>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</si>
  <si>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</si>
  <si>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</si>
  <si>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</si>
  <si>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</si>
  <si>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</si>
  <si>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</si>
  <si>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</si>
  <si>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</si>
  <si>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</si>
  <si>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</si>
  <si>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</si>
  <si>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</si>
  <si>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</si>
  <si>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</si>
  <si>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</si>
  <si>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</si>
  <si>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</si>
  <si>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</si>
  <si>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</si>
  <si>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</si>
  <si>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</si>
  <si>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</si>
  <si>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</si>
  <si>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</si>
  <si>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</si>
  <si>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</si>
  <si>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</si>
  <si>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</si>
  <si>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</si>
  <si>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</si>
  <si>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</si>
  <si>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</si>
  <si>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</si>
  <si>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</si>
  <si>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</si>
  <si>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</si>
  <si>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</si>
  <si>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</si>
  <si>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</si>
  <si>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</si>
  <si>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</si>
  <si>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</si>
  <si>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</si>
  <si>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</si>
  <si>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</si>
  <si>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</si>
  <si>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</si>
  <si>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</si>
  <si>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</si>
  <si>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</si>
  <si>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</si>
  <si>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</si>
  <si>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</si>
  <si>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</si>
  <si>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</si>
  <si>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</si>
  <si>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</si>
  <si>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</si>
  <si>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</si>
  <si>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</si>
  <si>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</si>
  <si>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</si>
  <si>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</si>
  <si>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</si>
  <si>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</si>
  <si>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</si>
  <si>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</si>
  <si>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</si>
  <si>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</si>
  <si>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</si>
  <si>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</si>
  <si>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</si>
  <si>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</si>
  <si>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</si>
  <si>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</si>
  <si>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</si>
  <si>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</si>
  <si>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</si>
  <si>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</si>
  <si>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</si>
  <si>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</si>
  <si>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</si>
  <si>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</si>
  <si>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</si>
  <si>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</si>
  <si>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</si>
  <si>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</si>
  <si>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</si>
  <si>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</si>
  <si>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</si>
  <si>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</si>
  <si>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</si>
  <si>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</si>
  <si>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</si>
  <si>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</si>
  <si>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</si>
  <si>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</si>
  <si>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</si>
  <si>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</si>
  <si>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</si>
  <si>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</si>
  <si>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</si>
  <si>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</si>
  <si>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</si>
  <si>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</si>
  <si>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</si>
  <si>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</si>
  <si>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</si>
  <si>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</si>
  <si>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</si>
  <si>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</si>
  <si>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</si>
  <si>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</si>
  <si>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</si>
  <si>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</si>
  <si>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</si>
  <si>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</si>
  <si>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</si>
  <si>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</si>
  <si>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</si>
  <si>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</si>
  <si>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</si>
  <si>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</si>
  <si>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</si>
  <si>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</si>
  <si>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</si>
  <si>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</si>
  <si>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</si>
  <si>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</si>
  <si>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</si>
  <si>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</si>
  <si>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</si>
  <si>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</si>
  <si>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</si>
  <si>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</si>
  <si>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</si>
  <si>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</si>
  <si>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</si>
  <si>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</si>
  <si>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</si>
  <si>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</si>
  <si>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</si>
  <si>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</si>
  <si>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</si>
  <si>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</si>
  <si>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</si>
  <si>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</si>
  <si>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</si>
  <si>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</si>
  <si>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</si>
  <si>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</si>
  <si>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</si>
  <si>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</si>
  <si>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</si>
  <si>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</si>
  <si>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</si>
  <si>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</si>
  <si>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</si>
  <si>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</si>
  <si>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</si>
  <si>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</si>
  <si>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</si>
  <si>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</si>
  <si>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</si>
  <si>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</si>
  <si>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</si>
  <si>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</si>
  <si>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</si>
  <si>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</si>
  <si>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</si>
  <si>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</si>
  <si>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</si>
  <si>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</si>
  <si>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</si>
  <si>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</si>
  <si>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</si>
  <si>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</si>
  <si>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</si>
  <si>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</si>
  <si>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</si>
  <si>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</si>
  <si>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</si>
  <si>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</si>
  <si>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</si>
  <si>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</si>
  <si>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</si>
  <si>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</si>
  <si>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</si>
  <si>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</si>
  <si>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</si>
  <si>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</si>
  <si>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</si>
  <si>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</si>
  <si>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</si>
  <si>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</si>
  <si>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</si>
  <si>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</si>
  <si>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</si>
  <si>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</si>
  <si>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</si>
  <si>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</si>
  <si>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</si>
  <si>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</si>
  <si>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</si>
  <si>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</si>
  <si>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</si>
  <si>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</si>
  <si>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</si>
  <si>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</si>
  <si>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</si>
  <si>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</si>
  <si>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</si>
  <si>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</si>
  <si>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</si>
  <si>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</si>
  <si>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</si>
  <si>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</si>
  <si>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</si>
  <si>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</si>
  <si>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</si>
  <si>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</si>
  <si>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</si>
  <si>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</si>
  <si>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</si>
  <si>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</si>
  <si>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</si>
  <si>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</si>
  <si>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</si>
  <si>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</si>
  <si>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</si>
  <si>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</si>
  <si>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</si>
  <si>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</si>
  <si>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</si>
  <si>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</si>
  <si>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</si>
  <si>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</si>
  <si>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</si>
  <si>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</si>
  <si>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</si>
  <si>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</si>
  <si>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</si>
  <si>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</si>
  <si>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</si>
  <si>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</si>
  <si>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</si>
  <si>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</si>
  <si>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</si>
  <si>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</si>
  <si>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</si>
  <si>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</si>
  <si>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</si>
  <si>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</si>
  <si>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</si>
  <si>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</si>
  <si>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</si>
  <si>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</si>
  <si>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</si>
  <si>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</si>
  <si>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</si>
  <si>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</si>
  <si>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</si>
  <si>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</si>
  <si>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</si>
  <si>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</si>
  <si>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</si>
  <si>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</si>
  <si>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</si>
  <si>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</si>
  <si>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</si>
  <si>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</si>
  <si>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</si>
  <si>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</si>
  <si>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</si>
  <si>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</si>
  <si>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</si>
  <si>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</si>
  <si>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</si>
  <si>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</si>
  <si>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</si>
  <si>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</si>
  <si>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</si>
  <si>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</si>
  <si>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</si>
  <si>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</si>
  <si>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</si>
  <si>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</si>
  <si>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</si>
  <si>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</si>
  <si>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</si>
  <si>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</si>
  <si>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</si>
  <si>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</si>
  <si>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</si>
  <si>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</si>
  <si>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</si>
  <si>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</si>
  <si>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</si>
  <si>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</si>
  <si>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</si>
  <si>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</si>
  <si>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</si>
  <si>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</si>
  <si>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</si>
  <si>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</si>
  <si>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</si>
  <si>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</si>
  <si>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</si>
  <si>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</si>
  <si>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</si>
  <si>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</si>
  <si>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</si>
  <si>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</si>
  <si>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</si>
  <si>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</si>
  <si>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</si>
  <si>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</si>
  <si>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</si>
  <si>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</si>
  <si>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</si>
  <si>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</si>
  <si>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</si>
  <si>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</si>
  <si>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</si>
  <si>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</si>
  <si>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</si>
  <si>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</si>
  <si>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</si>
  <si>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</si>
  <si>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</si>
  <si>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</si>
  <si>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</si>
  <si>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</si>
  <si>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</si>
  <si>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</si>
  <si>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</si>
  <si>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</si>
  <si>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</si>
  <si>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</si>
  <si>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</si>
  <si>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</si>
  <si>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</si>
  <si>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</si>
  <si>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</si>
  <si>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</si>
  <si>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</si>
  <si>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</si>
  <si>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</si>
  <si>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</si>
  <si>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</si>
  <si>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</si>
  <si>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</si>
  <si>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</si>
  <si>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</si>
  <si>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</si>
  <si>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</si>
  <si>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</si>
  <si>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</si>
  <si>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</si>
  <si>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</si>
  <si>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</si>
  <si>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</si>
  <si>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</si>
  <si>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</si>
  <si>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</si>
  <si>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</si>
  <si>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</si>
  <si>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</si>
  <si>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</si>
  <si>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</si>
  <si>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</si>
  <si>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</si>
  <si>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</si>
  <si>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</si>
  <si>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</si>
  <si>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</si>
  <si>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</si>
  <si>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</si>
  <si>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</si>
  <si>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</si>
  <si>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</si>
  <si>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</si>
  <si>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</si>
  <si>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</si>
  <si>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</si>
  <si>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</si>
  <si>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</si>
  <si>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</si>
  <si>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</si>
  <si>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</si>
  <si>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</si>
  <si>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</si>
  <si>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</si>
  <si>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</si>
  <si>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</si>
  <si>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</si>
  <si>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</si>
  <si>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</si>
  <si>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</si>
  <si>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</si>
  <si>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</si>
  <si>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</si>
  <si>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</si>
  <si>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</si>
  <si>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</si>
  <si>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</si>
  <si>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</si>
  <si>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</si>
  <si>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</si>
  <si>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</si>
  <si>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</si>
  <si>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</si>
  <si>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</si>
  <si>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</si>
  <si>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</si>
  <si>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</si>
  <si>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</si>
  <si>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</si>
  <si>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</si>
  <si>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</si>
  <si>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</si>
  <si>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</si>
  <si>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</si>
  <si>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</si>
  <si>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</si>
  <si>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</si>
  <si>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</si>
  <si>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</si>
  <si>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</si>
  <si>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</si>
  <si>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</si>
  <si>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</si>
  <si>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</si>
  <si>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</si>
  <si>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</si>
  <si>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</si>
  <si>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</si>
  <si>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</si>
  <si>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</si>
  <si>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</si>
  <si>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</si>
  <si>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</si>
  <si>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</si>
  <si>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</si>
  <si>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</si>
  <si>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</si>
  <si>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</si>
  <si>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</si>
  <si>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</si>
  <si>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</si>
  <si>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</si>
  <si>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</si>
  <si>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</si>
  <si>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</si>
  <si>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</si>
  <si>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</si>
  <si>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</si>
  <si>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</si>
  <si>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</si>
  <si>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</si>
  <si>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</si>
  <si>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</si>
  <si>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</si>
  <si>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</si>
  <si>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</si>
  <si>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</si>
  <si>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</si>
  <si>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</si>
  <si>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</si>
  <si>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</si>
  <si>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</si>
  <si>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</si>
  <si>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</si>
  <si>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</si>
  <si>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</si>
  <si>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</si>
  <si>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</si>
  <si>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</si>
  <si>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</si>
  <si>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</si>
  <si>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</si>
  <si>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</si>
  <si>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</si>
  <si>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</si>
  <si>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</si>
  <si>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</si>
  <si>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</si>
  <si>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</si>
  <si>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</si>
  <si>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</si>
  <si>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</si>
  <si>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</si>
  <si>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</si>
  <si>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</si>
  <si>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</si>
  <si>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</si>
  <si>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</si>
  <si>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</si>
  <si>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</si>
  <si>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</si>
  <si>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</si>
  <si>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</si>
  <si>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</si>
  <si>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</si>
  <si>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</si>
  <si>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</si>
  <si>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</si>
  <si>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</si>
  <si>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</si>
  <si>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</si>
  <si>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</si>
  <si>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</si>
  <si>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</si>
  <si>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</si>
  <si>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</si>
  <si>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</si>
  <si>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</si>
  <si>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</si>
  <si>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</si>
  <si>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</si>
  <si>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</si>
  <si>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</si>
  <si>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</si>
  <si>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</si>
  <si>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</si>
  <si>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</si>
  <si>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</si>
  <si>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</si>
  <si>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</si>
  <si>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</si>
  <si>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</si>
  <si>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</si>
  <si>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</si>
  <si>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</si>
  <si>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</si>
  <si>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</si>
  <si>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</si>
  <si>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</si>
  <si>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</si>
  <si>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</si>
  <si>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</si>
  <si>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</si>
  <si>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</si>
  <si>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</si>
  <si>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</si>
  <si>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</si>
  <si>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</si>
  <si>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</si>
  <si>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</si>
  <si>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</si>
  <si>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</si>
  <si>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</si>
  <si>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</si>
  <si>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</si>
  <si>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</si>
  <si>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</si>
  <si>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</si>
  <si>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</si>
  <si>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</si>
  <si>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</si>
  <si>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</si>
  <si>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</si>
  <si>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</si>
  <si>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</si>
  <si>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</si>
  <si>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</si>
  <si>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</si>
  <si>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</si>
  <si>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</si>
  <si>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</si>
  <si>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</si>
  <si>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</si>
  <si>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</si>
  <si>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</si>
  <si>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</si>
  <si>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</si>
  <si>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</si>
  <si>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</si>
  <si>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</si>
  <si>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</si>
  <si>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</si>
  <si>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</si>
  <si>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</si>
  <si>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</si>
  <si>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</si>
  <si>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</si>
  <si>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</si>
  <si>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</si>
  <si>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</si>
  <si>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</si>
  <si>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</si>
  <si>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</si>
  <si>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</si>
  <si>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</si>
  <si>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</si>
  <si>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</si>
  <si>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</si>
  <si>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</si>
  <si>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</si>
  <si>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</si>
  <si>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</si>
  <si>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</si>
  <si>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</si>
  <si>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</si>
  <si>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</si>
  <si>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</si>
  <si>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</si>
  <si>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</si>
  <si>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</si>
  <si>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</si>
  <si>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</si>
  <si>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</si>
  <si>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</si>
  <si>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</si>
  <si>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</si>
  <si>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</si>
  <si>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</si>
  <si>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</si>
  <si>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</si>
  <si>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</si>
  <si>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</si>
  <si>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</si>
  <si>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</si>
  <si>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</si>
  <si>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</si>
  <si>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</si>
  <si>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</si>
  <si>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</si>
  <si>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</si>
  <si>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</si>
  <si>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</si>
  <si>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</si>
  <si>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</si>
  <si>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</si>
  <si>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</si>
  <si>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</si>
  <si>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</si>
  <si>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</si>
  <si>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</si>
  <si>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</si>
  <si>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</si>
  <si>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</si>
  <si>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</si>
  <si>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</si>
  <si>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</si>
  <si>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</si>
  <si>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</si>
  <si>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</si>
  <si>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</si>
  <si>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</si>
  <si>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</si>
  <si>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</si>
  <si>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</si>
  <si>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</si>
  <si>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</si>
  <si>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</si>
  <si>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</si>
  <si>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</si>
  <si>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</si>
  <si>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</si>
  <si>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</si>
  <si>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</si>
  <si>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</si>
  <si>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</si>
  <si>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</si>
  <si>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</si>
  <si>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</si>
  <si>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</si>
  <si>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</si>
  <si>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</si>
  <si>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</si>
  <si>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</si>
  <si>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</si>
  <si>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</si>
  <si>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</si>
  <si>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</si>
  <si>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</si>
  <si>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</si>
  <si>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</si>
  <si>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</si>
  <si>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</si>
  <si>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</si>
  <si>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</si>
  <si>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</si>
  <si>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</si>
  <si>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</si>
  <si>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</si>
  <si>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</si>
  <si>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</si>
  <si>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</si>
  <si>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</si>
  <si>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</si>
  <si>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</si>
  <si>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</si>
  <si>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</si>
  <si>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</si>
  <si>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</si>
  <si>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</si>
  <si>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</si>
  <si>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</si>
  <si>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</si>
  <si>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</si>
  <si>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</si>
  <si>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</si>
  <si>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</si>
  <si>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</si>
  <si>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</si>
  <si>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</si>
  <si>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</si>
  <si>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</si>
  <si>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</si>
  <si>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</si>
  <si>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</si>
  <si>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</si>
  <si>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</si>
  <si>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</si>
  <si>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</si>
  <si>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</si>
  <si>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</si>
  <si>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</si>
  <si>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</si>
  <si>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</si>
  <si>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</si>
  <si>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</si>
  <si>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</si>
  <si>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</si>
  <si>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</si>
  <si>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</si>
  <si>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</si>
  <si>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</si>
  <si>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</si>
  <si>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</si>
  <si>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</si>
  <si>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</si>
  <si>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</si>
  <si>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</si>
  <si>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</si>
  <si>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</si>
  <si>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</si>
  <si>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</si>
  <si>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</si>
  <si>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</si>
  <si>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</si>
  <si>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</si>
  <si>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</si>
  <si>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</si>
  <si>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</si>
  <si>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</si>
  <si>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</si>
  <si>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</si>
  <si>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</si>
  <si>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</si>
  <si>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</si>
  <si>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</si>
  <si>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</si>
  <si>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</si>
  <si>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</si>
  <si>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</si>
  <si>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</si>
  <si>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</si>
  <si>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</si>
  <si>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</si>
  <si>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</si>
  <si>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</si>
  <si>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</si>
  <si>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</si>
  <si>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</si>
  <si>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</si>
  <si>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</si>
  <si>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</si>
  <si>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</si>
  <si>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</si>
  <si>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</si>
  <si>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</si>
  <si>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</si>
  <si>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</si>
  <si>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</si>
  <si>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</si>
  <si>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</si>
  <si>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</si>
  <si>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</si>
  <si>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</si>
  <si>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</si>
  <si>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</si>
  <si>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</si>
  <si>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</si>
  <si>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</si>
  <si>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</si>
  <si>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</si>
  <si>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</si>
  <si>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</si>
  <si>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</si>
  <si>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</si>
  <si>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</si>
  <si>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</si>
  <si>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</si>
  <si>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</si>
  <si>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</si>
  <si>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</si>
  <si>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</si>
  <si>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</si>
  <si>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</si>
  <si>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</si>
  <si>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</si>
  <si>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</si>
  <si>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</si>
  <si>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</si>
  <si>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</si>
  <si>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</si>
  <si>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</si>
  <si>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</si>
  <si>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</si>
  <si>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</si>
  <si>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</si>
  <si>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</si>
  <si>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</si>
  <si>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</si>
  <si>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</si>
  <si>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</si>
  <si>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</si>
  <si>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</si>
  <si>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</si>
  <si>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</si>
  <si>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</si>
  <si>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</si>
  <si>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</si>
  <si>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</si>
  <si>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</si>
  <si>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</si>
  <si>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</si>
  <si>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</si>
  <si>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</si>
  <si>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</si>
  <si>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</si>
  <si>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</si>
  <si>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</si>
  <si>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</si>
  <si>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</si>
  <si>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</si>
  <si>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</si>
  <si>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</si>
  <si>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</si>
  <si>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</si>
  <si>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</si>
  <si>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</si>
  <si>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</si>
  <si>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</si>
  <si>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</si>
  <si>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</si>
  <si>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</si>
  <si>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</si>
  <si>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</si>
  <si>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</si>
  <si>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</si>
  <si>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</si>
  <si>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</si>
  <si>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</si>
  <si>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</si>
  <si>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</si>
  <si>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</si>
  <si>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</si>
  <si>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</si>
  <si>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</si>
  <si>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</si>
  <si>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</si>
  <si>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</si>
  <si>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</si>
  <si>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</si>
  <si>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</si>
  <si>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</si>
  <si>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</si>
  <si>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</si>
  <si>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</si>
  <si>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</si>
  <si>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</si>
  <si>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</si>
  <si>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</si>
  <si>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</si>
  <si>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</si>
  <si>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</si>
  <si>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</si>
  <si>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</si>
  <si>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</si>
  <si>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</si>
  <si>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</si>
  <si>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</si>
  <si>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</si>
  <si>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</si>
  <si>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</si>
  <si>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</si>
  <si>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</si>
  <si>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</si>
  <si>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</si>
  <si>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</si>
  <si>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</si>
  <si>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</si>
  <si>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</si>
  <si>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</si>
  <si>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</si>
  <si>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</si>
  <si>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</si>
  <si>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</si>
  <si>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</si>
  <si>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</si>
  <si>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</si>
  <si>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</si>
  <si>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</si>
  <si>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</si>
  <si>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</si>
  <si>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</si>
  <si>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</si>
  <si>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</si>
  <si>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</si>
  <si>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</si>
  <si>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</si>
  <si>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</si>
  <si>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</si>
  <si>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</si>
  <si>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</si>
  <si>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</si>
  <si>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</si>
  <si>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</si>
  <si>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</si>
  <si>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</si>
  <si>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</si>
  <si>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</si>
  <si>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</si>
  <si>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</si>
  <si>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</si>
  <si>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</si>
  <si>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</si>
  <si>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</si>
  <si>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</si>
  <si>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</si>
  <si>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</si>
  <si>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</si>
  <si>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</si>
  <si>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</si>
  <si>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</si>
  <si>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</si>
  <si>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</si>
  <si>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</si>
  <si>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</si>
  <si>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</si>
  <si>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</si>
  <si>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</si>
  <si>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</si>
  <si>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</si>
  <si>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</si>
  <si>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</si>
  <si>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</si>
  <si>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</si>
  <si>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</si>
  <si>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</si>
  <si>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</si>
  <si>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</si>
  <si>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</si>
  <si>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</si>
  <si>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</si>
  <si>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</si>
  <si>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</si>
  <si>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</si>
  <si>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</si>
  <si>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</si>
  <si>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</si>
  <si>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</si>
  <si>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</si>
  <si>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</si>
  <si>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</si>
  <si>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</si>
  <si>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</si>
  <si>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</si>
  <si>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</si>
  <si>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</si>
  <si>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</si>
  <si>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</si>
  <si>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</si>
  <si>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</si>
  <si>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</si>
  <si>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</si>
  <si>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</si>
  <si>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</si>
  <si>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</si>
  <si>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</si>
  <si>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</si>
  <si>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</si>
  <si>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</si>
  <si>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</si>
  <si>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</si>
  <si>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</si>
  <si>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</si>
  <si>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</si>
  <si>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</si>
  <si>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</si>
  <si>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</si>
  <si>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</si>
  <si>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</si>
  <si>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</si>
  <si>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</si>
  <si>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</si>
  <si>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</si>
  <si>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</si>
  <si>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</si>
  <si>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</si>
  <si>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</si>
  <si>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</si>
  <si>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</si>
  <si>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</si>
  <si>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</si>
  <si>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</si>
  <si>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</si>
  <si>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</si>
  <si>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</si>
  <si>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</si>
  <si>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</si>
  <si>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</si>
  <si>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</si>
  <si>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</si>
  <si>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</si>
  <si>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</si>
  <si>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</si>
  <si>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</si>
  <si>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</si>
  <si>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</si>
  <si>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</si>
  <si>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</si>
  <si>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</si>
  <si>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</si>
  <si>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</si>
  <si>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</si>
  <si>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</si>
  <si>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</si>
  <si>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</si>
  <si>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</si>
  <si>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</si>
  <si>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</si>
  <si>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</si>
  <si>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</si>
  <si>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</si>
  <si>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</si>
  <si>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</si>
  <si>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</si>
  <si>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</si>
  <si>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</si>
  <si>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</si>
  <si>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</si>
  <si>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</si>
  <si>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</si>
  <si>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</si>
  <si>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</si>
  <si>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</si>
  <si>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</si>
  <si>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</si>
  <si>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</si>
  <si>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</si>
  <si>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</si>
  <si>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</si>
  <si>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</si>
  <si>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</si>
  <si>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</si>
  <si>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</si>
  <si>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</si>
  <si>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</si>
  <si>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</si>
  <si>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</si>
  <si>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</si>
  <si>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</si>
  <si>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</si>
  <si>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</si>
  <si>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</si>
  <si>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</si>
  <si>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</si>
  <si>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</si>
  <si>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</si>
  <si>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</si>
  <si>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</si>
  <si>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</si>
  <si>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</si>
  <si>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</si>
  <si>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</si>
  <si>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</si>
  <si>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</si>
  <si>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</si>
  <si>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</si>
  <si>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</si>
  <si>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</si>
  <si>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</si>
  <si>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</si>
  <si>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</si>
  <si>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</si>
  <si>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</si>
  <si>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</si>
  <si>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</si>
  <si>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</si>
  <si>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</si>
  <si>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</si>
  <si>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</si>
  <si>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</si>
  <si>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</si>
  <si>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</si>
  <si>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</si>
  <si>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</si>
  <si>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</si>
  <si>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</si>
  <si>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</si>
  <si>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</si>
  <si>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</si>
  <si>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</si>
  <si>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</si>
  <si>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</si>
  <si>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</si>
  <si>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</si>
  <si>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</si>
  <si>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</si>
  <si>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</si>
  <si>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</si>
  <si>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</si>
  <si>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</si>
  <si>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</si>
  <si>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</si>
  <si>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</si>
  <si>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</si>
  <si>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</si>
  <si>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</si>
  <si>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</si>
  <si>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</si>
  <si>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</si>
  <si>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</si>
  <si>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</si>
  <si>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</si>
  <si>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</si>
  <si>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</si>
  <si>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</si>
  <si>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</si>
  <si>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</si>
  <si>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</si>
  <si>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</si>
  <si>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</si>
  <si>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</si>
  <si>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</si>
  <si>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</si>
  <si>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</si>
  <si>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</si>
  <si>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</si>
  <si>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</si>
  <si>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</si>
  <si>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</si>
  <si>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</si>
  <si>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</si>
  <si>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</si>
  <si>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</si>
  <si>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</si>
  <si>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</si>
  <si>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</si>
  <si>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</si>
  <si>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</si>
  <si>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</si>
  <si>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</si>
  <si>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</si>
  <si>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</si>
  <si>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</si>
  <si>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</si>
  <si>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</si>
  <si>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</si>
  <si>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</si>
  <si>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</si>
  <si>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</si>
  <si>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</si>
  <si>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</si>
  <si>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</si>
  <si>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</si>
  <si>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</si>
  <si>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</si>
  <si>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</si>
  <si>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</si>
  <si>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</si>
  <si>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</si>
  <si>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</si>
  <si>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</si>
  <si>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</si>
  <si>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</si>
  <si>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</si>
  <si>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</si>
  <si>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</si>
  <si>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</si>
  <si>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</si>
  <si>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</si>
  <si>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</si>
  <si>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</si>
  <si>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</si>
  <si>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</si>
  <si>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</si>
  <si>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</si>
  <si>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</si>
  <si>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</si>
  <si>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</si>
  <si>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</si>
  <si>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</si>
  <si>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</si>
  <si>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</si>
  <si>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</si>
  <si>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</si>
  <si>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</si>
  <si>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</si>
  <si>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</si>
  <si>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</si>
  <si>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</si>
  <si>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</si>
  <si>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</si>
  <si>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</si>
  <si>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</si>
  <si>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</si>
  <si>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</si>
  <si>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</si>
  <si>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</si>
  <si>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</si>
  <si>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</si>
  <si>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</si>
  <si>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</si>
  <si>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</si>
  <si>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</si>
  <si>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</si>
  <si>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</si>
  <si>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</si>
  <si>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</si>
  <si>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</si>
  <si>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</si>
  <si>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</si>
  <si>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</si>
  <si>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</si>
  <si>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</si>
  <si>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</si>
  <si>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</si>
  <si>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</si>
  <si>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</si>
  <si>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</si>
  <si>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</si>
  <si>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</si>
  <si>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</si>
  <si>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</si>
  <si>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</si>
  <si>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</si>
  <si>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</si>
  <si>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</si>
  <si>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</si>
  <si>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</si>
  <si>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</si>
  <si>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</si>
  <si>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</si>
  <si>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</si>
  <si>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</si>
  <si>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</si>
  <si>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</si>
  <si>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</si>
  <si>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</si>
  <si>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</si>
  <si>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</si>
  <si>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</si>
  <si>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</si>
  <si>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</si>
  <si>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</si>
  <si>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</si>
  <si>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</si>
  <si>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</si>
  <si>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</si>
  <si>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</si>
  <si>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</si>
  <si>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</si>
  <si>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</si>
  <si>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</si>
  <si>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</si>
  <si>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</si>
  <si>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</si>
  <si>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</si>
  <si>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</si>
  <si>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</si>
  <si>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</si>
  <si>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</si>
  <si>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</si>
  <si>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</si>
  <si>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</si>
  <si>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</si>
  <si>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</si>
  <si>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</si>
  <si>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</si>
  <si>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</si>
  <si>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</si>
  <si>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</si>
  <si>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</si>
  <si>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</si>
  <si>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</si>
  <si>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</si>
  <si>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</si>
  <si>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</si>
  <si>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</si>
  <si>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</si>
  <si>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</si>
  <si>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</si>
  <si>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</si>
  <si>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</si>
  <si>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</si>
  <si>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</si>
  <si>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</si>
  <si>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</si>
  <si>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</si>
  <si>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</si>
  <si>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</si>
  <si>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</si>
  <si>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</si>
  <si>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</si>
  <si>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</si>
  <si>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</si>
  <si>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</si>
  <si>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</si>
  <si>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</si>
  <si>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</si>
  <si>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</si>
  <si>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</si>
  <si>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</si>
  <si>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</si>
  <si>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</si>
  <si>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</si>
  <si>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</si>
  <si>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</si>
  <si>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</si>
  <si>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</si>
  <si>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</si>
  <si>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</si>
  <si>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</si>
  <si>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</si>
  <si>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</si>
  <si>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</si>
  <si>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</si>
  <si>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</si>
  <si>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</si>
  <si>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</si>
  <si>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</si>
  <si>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</si>
  <si>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</si>
  <si>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</si>
  <si>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</si>
  <si>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</si>
  <si>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</si>
  <si>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</si>
  <si>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</si>
  <si>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</si>
  <si>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</si>
  <si>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</si>
  <si>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</si>
  <si>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</si>
  <si>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</si>
  <si>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</si>
  <si>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</si>
  <si>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</si>
  <si>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</si>
  <si>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</si>
  <si>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</si>
  <si>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</si>
  <si>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</si>
  <si>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</si>
  <si>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</si>
  <si>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</si>
  <si>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</si>
  <si>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</si>
  <si>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</si>
  <si>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</si>
  <si>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</si>
  <si>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</si>
  <si>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</si>
  <si>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</si>
  <si>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</si>
  <si>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</si>
  <si>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</si>
  <si>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</si>
  <si>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</si>
  <si>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</si>
  <si>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</si>
  <si>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</si>
  <si>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</si>
  <si>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</si>
  <si>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</si>
  <si>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</si>
  <si>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</si>
  <si>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</si>
  <si>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</si>
  <si>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</si>
  <si>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</si>
  <si>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</si>
  <si>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</si>
  <si>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</si>
  <si>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</si>
  <si>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</si>
  <si>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</si>
  <si>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</si>
  <si>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</si>
  <si>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</si>
  <si>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</si>
  <si>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</si>
  <si>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</si>
  <si>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</si>
  <si>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</si>
  <si>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</si>
  <si>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</si>
  <si>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</si>
  <si>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</si>
  <si>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</si>
  <si>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</si>
  <si>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</si>
  <si>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</si>
  <si>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</si>
  <si>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</si>
  <si>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</si>
  <si>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</si>
  <si>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</si>
  <si>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</si>
  <si>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</si>
  <si>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</si>
  <si>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</si>
  <si>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</si>
  <si>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</si>
  <si>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</si>
  <si>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</si>
  <si>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</si>
  <si>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</si>
  <si>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</si>
  <si>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</si>
  <si>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</si>
  <si>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</si>
  <si>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</si>
  <si>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</si>
  <si>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</si>
  <si>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</si>
  <si>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</si>
  <si>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</si>
  <si>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</si>
  <si>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</si>
  <si>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</si>
  <si>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</si>
  <si>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</si>
  <si>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</si>
  <si>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</si>
  <si>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</si>
  <si>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</si>
  <si>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</si>
  <si>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</si>
  <si>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</si>
  <si>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</si>
  <si>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</si>
  <si>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</si>
  <si>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</si>
  <si>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</si>
  <si>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</si>
  <si>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</si>
  <si>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</si>
  <si>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</si>
  <si>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</si>
  <si>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</si>
  <si>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</si>
  <si>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</si>
  <si>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</si>
  <si>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</si>
  <si>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</si>
  <si>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</si>
  <si>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</si>
  <si>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</si>
  <si>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</si>
  <si>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</si>
  <si>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</si>
  <si>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</si>
  <si>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</si>
  <si>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</si>
  <si>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</si>
  <si>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</si>
  <si>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</si>
  <si>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</si>
  <si>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</si>
  <si>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</si>
  <si>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</si>
  <si>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</si>
  <si>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</si>
  <si>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</si>
  <si>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</si>
  <si>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</si>
  <si>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</si>
  <si>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</si>
  <si>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</si>
  <si>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</si>
  <si>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</si>
  <si>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</si>
  <si>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</si>
  <si>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</si>
  <si>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</si>
  <si>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</si>
  <si>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</si>
  <si>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</si>
  <si>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</si>
  <si>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</si>
  <si>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</si>
  <si>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</si>
  <si>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</si>
  <si>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</si>
  <si>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</si>
  <si>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</si>
  <si>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</si>
  <si>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</si>
  <si>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</si>
  <si>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</si>
  <si>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</si>
  <si>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</si>
  <si>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</si>
  <si>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</si>
  <si>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</si>
  <si>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</si>
  <si>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</si>
  <si>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</si>
  <si>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</si>
  <si>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</si>
  <si>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</si>
  <si>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</si>
  <si>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</si>
  <si>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</si>
  <si>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</si>
  <si>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</si>
  <si>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</si>
  <si>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</si>
  <si>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</si>
  <si>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</si>
  <si>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</si>
  <si>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</si>
  <si>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</si>
  <si>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</si>
  <si>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</si>
  <si>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</si>
  <si>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</si>
  <si>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</si>
  <si>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</si>
  <si>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</si>
  <si>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</si>
  <si>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</si>
  <si>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</si>
  <si>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</si>
  <si>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</si>
  <si>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</si>
  <si>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</si>
  <si>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</si>
  <si>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</si>
  <si>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</si>
  <si>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</si>
  <si>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</si>
  <si>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</si>
  <si>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</si>
  <si>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</si>
  <si>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</si>
  <si>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</si>
  <si>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</si>
  <si>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</si>
  <si>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</si>
  <si>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</si>
  <si>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</si>
  <si>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</si>
  <si>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</si>
  <si>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</si>
  <si>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</si>
  <si>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</si>
  <si>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</si>
  <si>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</si>
  <si>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</si>
  <si>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</si>
  <si>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</si>
  <si>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</si>
  <si>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</si>
  <si>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</si>
  <si>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</si>
  <si>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</si>
  <si>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</si>
  <si>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BUEGES</t>
  </si>
  <si>
    <t xml:space="preserve">BUEGES A PEGAIROLLES-DE-BUEGES</t>
  </si>
  <si>
    <t xml:space="preserve">06182062</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</si>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</sst>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11.3039215686275</v>
      </c>
      <c r="N5" s="324"/>
      <c r="O5" s="325" t="s">
        <v>707</v>
      </c>
      <c r="P5" s="326" t="n">
        <v>11.1397849462366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41</v>
      </c>
      <c r="C7" s="342" t="n">
        <v>59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10.9</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3399</v>
      </c>
      <c r="B9" s="358" t="n">
        <v>75</v>
      </c>
      <c r="C9" s="359" t="n">
        <v>68</v>
      </c>
      <c r="D9" s="360"/>
      <c r="E9" s="360"/>
      <c r="F9" s="361" t="n">
        <f aca="false">($B9*$B$7+$C9*$C$7)/100</f>
        <v>70.87</v>
      </c>
      <c r="G9" s="362"/>
      <c r="H9" s="317"/>
      <c r="I9" s="281"/>
      <c r="J9" s="363"/>
      <c r="K9" s="364"/>
      <c r="L9" s="347"/>
      <c r="M9" s="365"/>
      <c r="N9" s="355" t="s">
        <v>3400</v>
      </c>
      <c r="O9" s="356" t="n">
        <f aca="false">IF(ISERROR(STDEVP(J23:J82))," ",STDEVP(J23:J82))</f>
        <v>3.38969025133566</v>
      </c>
      <c r="P9" s="356" t="n">
        <f aca="false">IF(ISERROR(STDEVP(K23:K82)),"  ",STDEVP(K23:K82))</f>
        <v>0.596284793999944</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10</v>
      </c>
      <c r="M13" s="381"/>
      <c r="N13" s="389" t="s">
        <v>3412</v>
      </c>
      <c r="O13" s="390" t="n">
        <f aca="false">COUNTIF(F23:F82,"&gt;0")</f>
        <v>38</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30</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12</v>
      </c>
      <c r="M15" s="381"/>
      <c r="N15" s="389" t="s">
        <v>3418</v>
      </c>
      <c r="O15" s="390" t="n">
        <f aca="false">COUNTIF(K23:K82,"=1")</f>
        <v>12</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16</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0.789473684210526</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75.36</v>
      </c>
      <c r="C20" s="433" t="n">
        <f aca="false">SUM(C23:C82)</f>
        <v>68.52</v>
      </c>
      <c r="D20" s="434"/>
      <c r="E20" s="435" t="s">
        <v>3425</v>
      </c>
      <c r="F20" s="436" t="n">
        <f aca="false">($B20*$B$7+$C20*$C$7)/100</f>
        <v>71.3244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30.8976</v>
      </c>
      <c r="C21" s="444" t="n">
        <f aca="false">C20*C7/100</f>
        <v>40.4268</v>
      </c>
      <c r="D21" s="445" t="s">
        <v>3428</v>
      </c>
      <c r="E21" s="446"/>
      <c r="F21" s="447" t="n">
        <f aca="false">B21+C21</f>
        <v>71.3244</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53</v>
      </c>
      <c r="B23" s="472" t="n">
        <v>1.5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0.615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0.615</v>
      </c>
      <c r="S23" s="485" t="n">
        <f aca="false">IF(OR(ISTEXT(H23),R23=0),"",IF(R23&lt;0.1,1,IF(R23&lt;1,2,IF(R23&lt;10,3,IF(R23&lt;50,4,IF(R23&gt;=50,5,""))))))</f>
        <v>2</v>
      </c>
      <c r="T23" s="485" t="n">
        <f aca="false">IF(ISERROR(S23*J23),0,S23*J23)</f>
        <v>26</v>
      </c>
      <c r="U23" s="485" t="n">
        <f aca="false">IF(ISERROR(S23*J23*K23),0,S23*J23*K23)</f>
        <v>52</v>
      </c>
      <c r="V23" s="485" t="n">
        <f aca="false">IF(ISERROR(S23*K23),0,S23*K23)</f>
        <v>4</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65</v>
      </c>
      <c r="B24" s="490" t="n">
        <v>0.2</v>
      </c>
      <c r="C24" s="491" t="n">
        <v>0.25</v>
      </c>
      <c r="D24" s="492" t="str">
        <f aca="false">IF(ISERROR(VLOOKUP($A24,'liste reference'!$A$6:$B$1174,2,0)),IF(ISERROR(VLOOKUP($A24,'liste reference'!$B$6:$B$1174,1,0)),"",VLOOKUP($A24,'liste reference'!$B$6:$B$1174,1,0)),VLOOKUP($A24,'liste reference'!$A$6:$B$1174,2,0))</f>
        <v>Batrachospermum sp.</v>
      </c>
      <c r="E24" s="493" t="e">
        <f aca="false">IF(D24="",0,VLOOKUP(D24,D$22:D23,1,0))</f>
        <v>#N/A</v>
      </c>
      <c r="F24" s="494" t="n">
        <f aca="false">IF(AND(OR(A24="",A24="!!!!!!"),B24="",C24=""),"",IF(OR(AND(B24="",C24=""),ISERROR(C24+B24)),"!!!",($B24*$B$7+$C24*$C$7)/100))</f>
        <v>0.2295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Batrachospermum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1155</v>
      </c>
      <c r="R24" s="484" t="n">
        <f aca="false">IF(ISTEXT(H24),"",(B24*$B$7/100)+(C24*$C$7/100))</f>
        <v>0.2295</v>
      </c>
      <c r="S24" s="485" t="n">
        <f aca="false">IF(OR(ISTEXT(H24),R24=0),"",IF(R24&lt;0.1,1,IF(R24&lt;1,2,IF(R24&lt;10,3,IF(R24&lt;50,4,IF(R24&gt;=50,5,""))))))</f>
        <v>2</v>
      </c>
      <c r="T24" s="485" t="n">
        <f aca="false">IF(ISERROR(S24*J24),0,S24*J24)</f>
        <v>32</v>
      </c>
      <c r="U24" s="485" t="n">
        <f aca="false">IF(ISERROR(S24*J24*K24),0,S24*J24*K24)</f>
        <v>64</v>
      </c>
      <c r="V24" s="501" t="n">
        <f aca="false">IF(ISERROR(S24*K24),0,S24*K24)</f>
        <v>4</v>
      </c>
      <c r="W24" s="502"/>
      <c r="X24" s="503"/>
      <c r="Y24" s="488" t="str">
        <f aca="false">IF(AND(ISNUMBER(F24),OR(A24="",A24="!!!!!!")),"!!!!!!",IF(A24="new.cod","NEWCOD",IF(AND((Z24=""),ISTEXT(A24),A24&lt;&gt;"!!!!!!"),A24,IF(Z24="","",INDEX('liste reference'!$A$6:$A$1174,Z24)))))</f>
        <v>BATSPX</v>
      </c>
      <c r="Z24" s="470" t="n">
        <f aca="false">IF(ISERROR(MATCH(A24,'liste reference'!$A$6:$A$1174,0)),IF(ISERROR(MATCH(A24,'liste reference'!$B$6:$B$1174,0)),"",(MATCH(A24,'liste reference'!$B$6:$B$1174,0))),(MATCH(A24,'liste reference'!$A$6:$A$1174,0)))</f>
        <v>10</v>
      </c>
    </row>
    <row r="25" customFormat="false" ht="12.75" hidden="false" customHeight="false" outlineLevel="0" collapsed="false">
      <c r="A25" s="489" t="s">
        <v>134</v>
      </c>
      <c r="B25" s="490" t="n">
        <v>3.5</v>
      </c>
      <c r="C25" s="491" t="n">
        <v>8</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6.155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6.155</v>
      </c>
      <c r="S25" s="485" t="n">
        <f aca="false">IF(OR(ISTEXT(H25),R25=0),"",IF(R25&lt;0.1,1,IF(R25&lt;1,2,IF(R25&lt;10,3,IF(R25&lt;50,4,IF(R25&gt;=50,5,""))))))</f>
        <v>3</v>
      </c>
      <c r="T25" s="485" t="n">
        <f aca="false">IF(ISERROR(S25*J25),0,S25*J25)</f>
        <v>18</v>
      </c>
      <c r="U25" s="485" t="n">
        <f aca="false">IF(ISERROR(S25*J25*K25),0,S25*J25*K25)</f>
        <v>18</v>
      </c>
      <c r="V25" s="501" t="n">
        <f aca="false">IF(ISERROR(S25*K25),0,S25*K25)</f>
        <v>3</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195</v>
      </c>
      <c r="B26" s="490" t="n">
        <v>0.01</v>
      </c>
      <c r="C26" s="491" t="n">
        <v>0.01</v>
      </c>
      <c r="D26" s="492" t="str">
        <f aca="false">IF(ISERROR(VLOOKUP($A26,'liste reference'!$A$6:$B$1174,2,0)),IF(ISERROR(VLOOKUP($A26,'liste reference'!$B$6:$B$1174,1,0)),"",VLOOKUP($A26,'liste reference'!$B$6:$B$1174,1,0)),VLOOKUP($A26,'liste reference'!$A$6:$B$1174,2,0))</f>
        <v>Hildenbrandia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Hildenbrandia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1157</v>
      </c>
      <c r="R26" s="484" t="n">
        <f aca="false">IF(ISTEXT(H26),"",(B26*$B$7/100)+(C26*$C$7/100))</f>
        <v>0.01</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HILSPX</v>
      </c>
      <c r="Z26" s="470" t="n">
        <f aca="false">IF(ISERROR(MATCH(A26,'liste reference'!$A$6:$A$1174,0)),IF(ISERROR(MATCH(A26,'liste reference'!$B$6:$B$1174,0)),"",(MATCH(A26,'liste reference'!$B$6:$B$1174,0))),(MATCH(A26,'liste reference'!$A$6:$A$1174,0)))</f>
        <v>53</v>
      </c>
    </row>
    <row r="27" customFormat="false" ht="12.75" hidden="false" customHeight="false" outlineLevel="0" collapsed="false">
      <c r="A27" s="489" t="s">
        <v>239</v>
      </c>
      <c r="B27" s="490"/>
      <c r="C27" s="491" t="n">
        <v>0.01</v>
      </c>
      <c r="D27" s="492" t="str">
        <f aca="false">IF(ISERROR(VLOOKUP($A27,'liste reference'!$A$6:$B$1174,2,0)),IF(ISERROR(VLOOKUP($A27,'liste reference'!$B$6:$B$1174,1,0)),"",VLOOKUP($A27,'liste reference'!$B$6:$B$1174,1,0)),VLOOKUP($A27,'liste reference'!$A$6:$B$1174,2,0))</f>
        <v>Microspora sp.</v>
      </c>
      <c r="E27" s="493" t="e">
        <f aca="false">IF(D27="",0,VLOOKUP(D27,D$22:D26,1,0))</f>
        <v>#N/A</v>
      </c>
      <c r="F27" s="494" t="n">
        <f aca="false">IF(AND(OR(A27="",A27="!!!!!!"),B27="",C27=""),"",IF(OR(AND(B27="",C27=""),ISERROR(C27+B27)),"!!!",($B27*$B$7+$C27*$C$7)/100))</f>
        <v>0.0059</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Microspora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1132</v>
      </c>
      <c r="R27" s="484" t="n">
        <f aca="false">IF(ISTEXT(H27),"",(B27*$B$7/100)+(C27*$C$7/100))</f>
        <v>0.0059</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MICSPX</v>
      </c>
      <c r="Z27" s="470" t="n">
        <f aca="false">IF(ISERROR(MATCH(A27,'liste reference'!$A$6:$A$1174,0)),IF(ISERROR(MATCH(A27,'liste reference'!$B$6:$B$1174,0)),"",(MATCH(A27,'liste reference'!$B$6:$B$1174,0))),(MATCH(A27,'liste reference'!$A$6:$A$1174,0)))</f>
        <v>66</v>
      </c>
    </row>
    <row r="28" customFormat="false" ht="12.75" hidden="false" customHeight="false" outlineLevel="0" collapsed="false">
      <c r="A28" s="489" t="s">
        <v>244</v>
      </c>
      <c r="B28" s="490"/>
      <c r="C28" s="491" t="n">
        <v>0.01</v>
      </c>
      <c r="D28" s="492" t="str">
        <f aca="false">IF(ISERROR(VLOOKUP($A28,'liste reference'!$A$6:$B$1174,2,0)),IF(ISERROR(VLOOKUP($A28,'liste reference'!$B$6:$B$1174,1,0)),"",VLOOKUP($A28,'liste reference'!$B$6:$B$1174,1,0)),VLOOKUP($A28,'liste reference'!$A$6:$B$1174,2,0))</f>
        <v>Mougeotia sp.</v>
      </c>
      <c r="E28" s="493" t="e">
        <f aca="false">IF(D28="",0,VLOOKUP(D28,D$22:D27,1,0))</f>
        <v>#N/A</v>
      </c>
      <c r="F28" s="494" t="n">
        <f aca="false">IF(AND(OR(A28="",A28="!!!!!!"),B28="",C28=""),"",IF(OR(AND(B28="",C28=""),ISERROR(C28+B28)),"!!!",($B28*$B$7+$C28*$C$7)/100))</f>
        <v>0.0059</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Mougeotia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1146</v>
      </c>
      <c r="R28" s="484" t="n">
        <f aca="false">IF(ISTEXT(H28),"",(B28*$B$7/100)+(C28*$C$7/100))</f>
        <v>0.0059</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MOUSPX</v>
      </c>
      <c r="Z28" s="470" t="n">
        <f aca="false">IF(ISERROR(MATCH(A28,'liste reference'!$A$6:$A$1174,0)),IF(ISERROR(MATCH(A28,'liste reference'!$B$6:$B$1174,0)),"",(MATCH(A28,'liste reference'!$B$6:$B$1174,0))),(MATCH(A28,'liste reference'!$A$6:$A$1174,0)))</f>
        <v>68</v>
      </c>
    </row>
    <row r="29" customFormat="false" ht="12.75" hidden="false" customHeight="false" outlineLevel="0" collapsed="false">
      <c r="A29" s="489" t="s">
        <v>291</v>
      </c>
      <c r="B29" s="490" t="n">
        <v>3</v>
      </c>
      <c r="C29" s="491" t="n">
        <v>1</v>
      </c>
      <c r="D29" s="492" t="str">
        <f aca="false">IF(ISERROR(VLOOKUP($A29,'liste reference'!$A$6:$B$1174,2,0)),IF(ISERROR(VLOOKUP($A29,'liste reference'!$B$6:$B$1174,1,0)),"",VLOOKUP($A29,'liste reference'!$B$6:$B$1174,1,0)),VLOOKUP($A29,'liste reference'!$A$6:$B$1174,2,0))</f>
        <v>Nostoc sp.</v>
      </c>
      <c r="E29" s="493" t="e">
        <f aca="false">IF(D29="",0,VLOOKUP(D29,D$22:D28,1,0))</f>
        <v>#N/A</v>
      </c>
      <c r="F29" s="494" t="n">
        <f aca="false">IF(AND(OR(A29="",A29="!!!!!!"),B29="",C29=""),"",IF(OR(AND(B29="",C29=""),ISERROR(C29+B29)),"!!!",($B29*$B$7+$C29*$C$7)/100))</f>
        <v>1.82</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9</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Nostoc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1105</v>
      </c>
      <c r="R29" s="484" t="n">
        <f aca="false">IF(ISTEXT(H29),"",(B29*$B$7/100)+(C29*$C$7/100))</f>
        <v>1.82</v>
      </c>
      <c r="S29" s="485" t="n">
        <f aca="false">IF(OR(ISTEXT(H29),R29=0),"",IF(R29&lt;0.1,1,IF(R29&lt;1,2,IF(R29&lt;10,3,IF(R29&lt;50,4,IF(R29&gt;=50,5,""))))))</f>
        <v>3</v>
      </c>
      <c r="T29" s="485" t="n">
        <f aca="false">IF(ISERROR(S29*J29),0,S29*J29)</f>
        <v>27</v>
      </c>
      <c r="U29" s="485" t="n">
        <f aca="false">IF(ISERROR(S29*J29*K29),0,S29*J29*K29)</f>
        <v>27</v>
      </c>
      <c r="V29" s="501" t="n">
        <f aca="false">IF(ISERROR(S29*K29),0,S29*K29)</f>
        <v>3</v>
      </c>
      <c r="W29" s="502"/>
      <c r="X29" s="503"/>
      <c r="Y29" s="488" t="str">
        <f aca="false">IF(AND(ISNUMBER(F29),OR(A29="",A29="!!!!!!")),"!!!!!!",IF(A29="new.cod","NEWCOD",IF(AND((Z29=""),ISTEXT(A29),A29&lt;&gt;"!!!!!!"),A29,IF(Z29="","",INDEX('liste reference'!$A$6:$A$1174,Z29)))))</f>
        <v>NOSSPX</v>
      </c>
      <c r="Z29" s="470" t="n">
        <f aca="false">IF(ISERROR(MATCH(A29,'liste reference'!$A$6:$A$1174,0)),IF(ISERROR(MATCH(A29,'liste reference'!$B$6:$B$1174,0)),"",(MATCH(A29,'liste reference'!$B$6:$B$1174,0))),(MATCH(A29,'liste reference'!$A$6:$A$1174,0)))</f>
        <v>84</v>
      </c>
    </row>
    <row r="30" customFormat="false" ht="12.75" hidden="false" customHeight="false" outlineLevel="0" collapsed="false">
      <c r="A30" s="489" t="s">
        <v>300</v>
      </c>
      <c r="B30" s="490" t="n">
        <v>0.5</v>
      </c>
      <c r="C30" s="491" t="n">
        <v>3.4</v>
      </c>
      <c r="D30" s="492" t="str">
        <f aca="false">IF(ISERROR(VLOOKUP($A30,'liste reference'!$A$6:$B$1174,2,0)),IF(ISERROR(VLOOKUP($A30,'liste reference'!$B$6:$B$1174,1,0)),"",VLOOKUP($A30,'liste reference'!$B$6:$B$1174,1,0)),VLOOKUP($A30,'liste reference'!$A$6:$B$1174,2,0))</f>
        <v>Oedogonium sp.</v>
      </c>
      <c r="E30" s="493" t="e">
        <f aca="false">IF(D30="",0,VLOOKUP(D30,D$22:D29,1,0))</f>
        <v>#N/A</v>
      </c>
      <c r="F30" s="494" t="n">
        <f aca="false">IF(AND(OR(A30="",A30="!!!!!!"),B30="",C30=""),"",IF(OR(AND(B30="",C30=""),ISERROR(C30+B30)),"!!!",($B30*$B$7+$C30*$C$7)/100))</f>
        <v>2.211</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6</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Oedogonium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1134</v>
      </c>
      <c r="R30" s="484" t="n">
        <f aca="false">IF(ISTEXT(H30),"",(B30*$B$7/100)+(C30*$C$7/100))</f>
        <v>2.211</v>
      </c>
      <c r="S30" s="485" t="n">
        <f aca="false">IF(OR(ISTEXT(H30),R30=0),"",IF(R30&lt;0.1,1,IF(R30&lt;1,2,IF(R30&lt;10,3,IF(R30&lt;50,4,IF(R30&gt;=50,5,""))))))</f>
        <v>3</v>
      </c>
      <c r="T30" s="485" t="n">
        <f aca="false">IF(ISERROR(S30*J30),0,S30*J30)</f>
        <v>18</v>
      </c>
      <c r="U30" s="485" t="n">
        <f aca="false">IF(ISERROR(S30*J30*K30),0,S30*J30*K30)</f>
        <v>36</v>
      </c>
      <c r="V30" s="501" t="n">
        <f aca="false">IF(ISERROR(S30*K30),0,S30*K30)</f>
        <v>6</v>
      </c>
      <c r="W30" s="502"/>
      <c r="X30" s="503"/>
      <c r="Y30" s="488" t="str">
        <f aca="false">IF(AND(ISNUMBER(F30),OR(A30="",A30="!!!!!!")),"!!!!!!",IF(A30="new.cod","NEWCOD",IF(AND((Z30=""),ISTEXT(A30),A30&lt;&gt;"!!!!!!"),A30,IF(Z30="","",INDEX('liste reference'!$A$6:$A$1174,Z30)))))</f>
        <v>OEDSPX</v>
      </c>
      <c r="Z30" s="470" t="n">
        <f aca="false">IF(ISERROR(MATCH(A30,'liste reference'!$A$6:$A$1174,0)),IF(ISERROR(MATCH(A30,'liste reference'!$B$6:$B$1174,0)),"",(MATCH(A30,'liste reference'!$B$6:$B$1174,0))),(MATCH(A30,'liste reference'!$A$6:$A$1174,0)))</f>
        <v>85</v>
      </c>
    </row>
    <row r="31" customFormat="false" ht="12.75" hidden="false" customHeight="false" outlineLevel="0" collapsed="false">
      <c r="A31" s="489" t="s">
        <v>328</v>
      </c>
      <c r="B31" s="490"/>
      <c r="C31" s="491" t="n">
        <v>0.1</v>
      </c>
      <c r="D31" s="492" t="str">
        <f aca="false">IF(ISERROR(VLOOKUP($A31,'liste reference'!$A$6:$B$1174,2,0)),IF(ISERROR(VLOOKUP($A31,'liste reference'!$B$6:$B$1174,1,0)),"",VLOOKUP($A31,'liste reference'!$B$6:$B$1174,1,0)),VLOOKUP($A31,'liste reference'!$A$6:$B$1174,2,0))</f>
        <v>Rhizoclonium sp.</v>
      </c>
      <c r="E31" s="493" t="e">
        <f aca="false">IF(D31="",0,VLOOKUP(D31,D$22:D30,1,0))</f>
        <v>#N/A</v>
      </c>
      <c r="F31" s="494" t="n">
        <f aca="false">IF(AND(OR(A31="",A31="!!!!!!"),B31="",C31=""),"",IF(OR(AND(B31="",C31=""),ISERROR(C31+B31)),"!!!",($B31*$B$7+$C31*$C$7)/100))</f>
        <v>0.059</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4</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Rhizoclonium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1125</v>
      </c>
      <c r="R31" s="484" t="n">
        <f aca="false">IF(ISTEXT(H31),"",(B31*$B$7/100)+(C31*$C$7/100))</f>
        <v>0.059</v>
      </c>
      <c r="S31" s="485" t="n">
        <f aca="false">IF(OR(ISTEXT(H31),R31=0),"",IF(R31&lt;0.1,1,IF(R31&lt;1,2,IF(R31&lt;10,3,IF(R31&lt;50,4,IF(R31&gt;=50,5,""))))))</f>
        <v>1</v>
      </c>
      <c r="T31" s="485" t="n">
        <f aca="false">IF(ISERROR(S31*J31),0,S31*J31)</f>
        <v>4</v>
      </c>
      <c r="U31" s="485" t="n">
        <f aca="false">IF(ISERROR(S31*J31*K31),0,S31*J31*K31)</f>
        <v>8</v>
      </c>
      <c r="V31" s="501" t="n">
        <f aca="false">IF(ISERROR(S31*K31),0,S31*K31)</f>
        <v>2</v>
      </c>
      <c r="W31" s="502"/>
      <c r="X31" s="503"/>
      <c r="Y31" s="488" t="str">
        <f aca="false">IF(AND(ISNUMBER(F31),OR(A31="",A31="!!!!!!")),"!!!!!!",IF(A31="new.cod","NEWCOD",IF(AND((Z31=""),ISTEXT(A31),A31&lt;&gt;"!!!!!!"),A31,IF(Z31="","",INDEX('liste reference'!$A$6:$A$1174,Z31)))))</f>
        <v>RHISPX</v>
      </c>
      <c r="Z31" s="470" t="n">
        <f aca="false">IF(ISERROR(MATCH(A31,'liste reference'!$A$6:$A$1174,0)),IF(ISERROR(MATCH(A31,'liste reference'!$B$6:$B$1174,0)),"",(MATCH(A31,'liste reference'!$B$6:$B$1174,0))),(MATCH(A31,'liste reference'!$A$6:$A$1174,0)))</f>
        <v>95</v>
      </c>
    </row>
    <row r="32" customFormat="false" ht="12.75" hidden="false" customHeight="false" outlineLevel="0" collapsed="false">
      <c r="A32" s="489" t="s">
        <v>330</v>
      </c>
      <c r="B32" s="490"/>
      <c r="C32" s="491" t="n">
        <v>0.01</v>
      </c>
      <c r="D32" s="492" t="str">
        <f aca="false">IF(ISERROR(VLOOKUP($A32,'liste reference'!$A$6:$B$1174,2,0)),IF(ISERROR(VLOOKUP($A32,'liste reference'!$B$6:$B$1174,1,0)),"",VLOOKUP($A32,'liste reference'!$B$6:$B$1174,1,0)),VLOOKUP($A32,'liste reference'!$A$6:$B$1174,2,0))</f>
        <v>Rivularia sp.</v>
      </c>
      <c r="E32" s="493" t="e">
        <f aca="false">IF(D32="",0,VLOOKUP(D32,D$22:D31,1,0))</f>
        <v>#N/A</v>
      </c>
      <c r="F32" s="494" t="n">
        <f aca="false">IF(AND(OR(A32="",A32="!!!!!!"),B32="",C32=""),"",IF(OR(AND(B32="",C32=""),ISERROR(C32+B32)),"!!!",($B32*$B$7+$C32*$C$7)/100))</f>
        <v>0.0059</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Rivularia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6300</v>
      </c>
      <c r="R32" s="484" t="n">
        <f aca="false">IF(ISTEXT(H32),"",(B32*$B$7/100)+(C32*$C$7/100))</f>
        <v>0.0059</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RIVSPX</v>
      </c>
      <c r="Z32" s="470" t="n">
        <f aca="false">IF(ISERROR(MATCH(A32,'liste reference'!$A$6:$A$1174,0)),IF(ISERROR(MATCH(A32,'liste reference'!$B$6:$B$1174,0)),"",(MATCH(A32,'liste reference'!$B$6:$B$1174,0))),(MATCH(A32,'liste reference'!$A$6:$A$1174,0)))</f>
        <v>96</v>
      </c>
    </row>
    <row r="33" customFormat="false" ht="12.75" hidden="false" customHeight="false" outlineLevel="0" collapsed="false">
      <c r="A33" s="489" t="s">
        <v>343</v>
      </c>
      <c r="B33" s="490"/>
      <c r="C33" s="491" t="n">
        <v>19</v>
      </c>
      <c r="D33" s="492" t="str">
        <f aca="false">IF(ISERROR(VLOOKUP($A33,'liste reference'!$A$6:$B$1174,2,0)),IF(ISERROR(VLOOKUP($A33,'liste reference'!$B$6:$B$1174,1,0)),"",VLOOKUP($A33,'liste reference'!$B$6:$B$1174,1,0)),VLOOKUP($A33,'liste reference'!$A$6:$B$1174,2,0))</f>
        <v>Spirogyra sp.</v>
      </c>
      <c r="E33" s="493" t="e">
        <f aca="false">IF(D33="",0,VLOOKUP(D33,D$22:D32,1,0))</f>
        <v>#N/A</v>
      </c>
      <c r="F33" s="494" t="n">
        <f aca="false">IF(AND(OR(A33="",A33="!!!!!!"),B33="",C33=""),"",IF(OR(AND(B33="",C33=""),ISERROR(C33+B33)),"!!!",($B33*$B$7+$C33*$C$7)/100))</f>
        <v>11.21</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Spirogyra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1147</v>
      </c>
      <c r="R33" s="484" t="n">
        <f aca="false">IF(ISTEXT(H33),"",(B33*$B$7/100)+(C33*$C$7/100))</f>
        <v>11.21</v>
      </c>
      <c r="S33" s="485" t="n">
        <f aca="false">IF(OR(ISTEXT(H33),R33=0),"",IF(R33&lt;0.1,1,IF(R33&lt;1,2,IF(R33&lt;10,3,IF(R33&lt;50,4,IF(R33&gt;=50,5,""))))))</f>
        <v>4</v>
      </c>
      <c r="T33" s="485" t="n">
        <f aca="false">IF(ISERROR(S33*J33),0,S33*J33)</f>
        <v>40</v>
      </c>
      <c r="U33" s="485" t="n">
        <f aca="false">IF(ISERROR(S33*J33*K33),0,S33*J33*K33)</f>
        <v>40</v>
      </c>
      <c r="V33" s="501" t="n">
        <f aca="false">IF(ISERROR(S33*K33),0,S33*K33)</f>
        <v>4</v>
      </c>
      <c r="W33" s="502"/>
      <c r="X33" s="503"/>
      <c r="Y33" s="488" t="str">
        <f aca="false">IF(AND(ISNUMBER(F33),OR(A33="",A33="!!!!!!")),"!!!!!!",IF(A33="new.cod","NEWCOD",IF(AND((Z33=""),ISTEXT(A33),A33&lt;&gt;"!!!!!!"),A33,IF(Z33="","",INDEX('liste reference'!$A$6:$A$1174,Z33)))))</f>
        <v>SPISPX</v>
      </c>
      <c r="Z33" s="470" t="n">
        <f aca="false">IF(ISERROR(MATCH(A33,'liste reference'!$A$6:$A$1174,0)),IF(ISERROR(MATCH(A33,'liste reference'!$B$6:$B$1174,0)),"",(MATCH(A33,'liste reference'!$B$6:$B$1174,0))),(MATCH(A33,'liste reference'!$A$6:$A$1174,0)))</f>
        <v>102</v>
      </c>
    </row>
    <row r="34" customFormat="false" ht="12.75" hidden="false" customHeight="false" outlineLevel="0" collapsed="false">
      <c r="A34" s="489" t="s">
        <v>348</v>
      </c>
      <c r="B34" s="490" t="n">
        <v>0.01</v>
      </c>
      <c r="C34" s="491"/>
      <c r="D34" s="492" t="str">
        <f aca="false">IF(ISERROR(VLOOKUP($A34,'liste reference'!$A$6:$B$1174,2,0)),IF(ISERROR(VLOOKUP($A34,'liste reference'!$B$6:$B$1174,1,0)),"",VLOOKUP($A34,'liste reference'!$B$6:$B$1174,1,0)),VLOOKUP($A34,'liste reference'!$A$6:$B$1174,2,0))</f>
        <v>Stigeoclonium sp. (excep. S. tenue)</v>
      </c>
      <c r="E34" s="493" t="e">
        <f aca="false">IF(D34="",0,VLOOKUP(D34,D$22:D33,1,0))</f>
        <v>#N/A</v>
      </c>
      <c r="F34" s="494" t="n">
        <f aca="false">IF(AND(OR(A34="",A34="!!!!!!"),B34="",C34=""),"",IF(OR(AND(B34="",C34=""),ISERROR(C34+B34)),"!!!",($B34*$B$7+$C34*$C$7)/100))</f>
        <v>0.0041</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13</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Stigeoclonium sp. (excep. S. tenue)</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1119</v>
      </c>
      <c r="R34" s="484" t="n">
        <f aca="false">IF(ISTEXT(H34),"",(B34*$B$7/100)+(C34*$C$7/100))</f>
        <v>0.0041</v>
      </c>
      <c r="S34" s="485" t="n">
        <f aca="false">IF(OR(ISTEXT(H34),R34=0),"",IF(R34&lt;0.1,1,IF(R34&lt;1,2,IF(R34&lt;10,3,IF(R34&lt;50,4,IF(R34&gt;=50,5,""))))))</f>
        <v>1</v>
      </c>
      <c r="T34" s="485" t="n">
        <f aca="false">IF(ISERROR(S34*J34),0,S34*J34)</f>
        <v>13</v>
      </c>
      <c r="U34" s="485" t="n">
        <f aca="false">IF(ISERROR(S34*J34*K34),0,S34*J34*K34)</f>
        <v>26</v>
      </c>
      <c r="V34" s="501" t="n">
        <f aca="false">IF(ISERROR(S34*K34),0,S34*K34)</f>
        <v>2</v>
      </c>
      <c r="W34" s="502"/>
      <c r="X34" s="503"/>
      <c r="Y34" s="488" t="str">
        <f aca="false">IF(AND(ISNUMBER(F34),OR(A34="",A34="!!!!!!")),"!!!!!!",IF(A34="new.cod","NEWCOD",IF(AND((Z34=""),ISTEXT(A34),A34&lt;&gt;"!!!!!!"),A34,IF(Z34="","",INDEX('liste reference'!$A$6:$A$1174,Z34)))))</f>
        <v>STISPX</v>
      </c>
      <c r="Z34" s="470" t="n">
        <f aca="false">IF(ISERROR(MATCH(A34,'liste reference'!$A$6:$A$1174,0)),IF(ISERROR(MATCH(A34,'liste reference'!$B$6:$B$1174,0)),"",(MATCH(A34,'liste reference'!$B$6:$B$1174,0))),(MATCH(A34,'liste reference'!$A$6:$A$1174,0)))</f>
        <v>104</v>
      </c>
    </row>
    <row r="35" customFormat="false" ht="12.75" hidden="false" customHeight="false" outlineLevel="0" collapsed="false">
      <c r="A35" s="489" t="s">
        <v>355</v>
      </c>
      <c r="B35" s="490"/>
      <c r="C35" s="491" t="n">
        <v>0.2</v>
      </c>
      <c r="D35" s="492" t="str">
        <f aca="false">IF(ISERROR(VLOOKUP($A35,'liste reference'!$A$6:$B$1174,2,0)),IF(ISERROR(VLOOKUP($A35,'liste reference'!$B$6:$B$1174,1,0)),"",VLOOKUP($A35,'liste reference'!$B$6:$B$1174,1,0)),VLOOKUP($A35,'liste reference'!$A$6:$B$1174,2,0))</f>
        <v>Tetraspora sp.</v>
      </c>
      <c r="E35" s="493" t="e">
        <f aca="false">IF(D35="",0,VLOOKUP(D35,D$22:D34,1,0))</f>
        <v>#N/A</v>
      </c>
      <c r="F35" s="494" t="n">
        <f aca="false">IF(AND(OR(A35="",A35="!!!!!!"),B35="",C35=""),"",IF(OR(AND(B35="",C35=""),ISERROR(C35+B35)),"!!!",($B35*$B$7+$C35*$C$7)/100))</f>
        <v>0.118</v>
      </c>
      <c r="G35" s="495" t="str">
        <f aca="false">IF(A35="","",IF(ISERROR(VLOOKUP($A35,'liste reference'!$A$6:$Q$1174,9,0)),IF(ISERROR(VLOOKUP($A35,'liste reference'!$B$6:$Q$1174,8,0)),"    -",VLOOKUP($A35,'liste reference'!$B$6:$Q$1174,8,0)),VLOOKUP($A35,'liste reference'!$A$6:$Q$1174,9,0)))</f>
        <v>ALG</v>
      </c>
      <c r="H35" s="496" t="n">
        <f aca="false">IF(A35="","x",IF(ISERROR(VLOOKUP($A35,'liste reference'!$A$6:$Q$1174,10,0)),IF(ISERROR(VLOOKUP($A35,'liste reference'!$B$6:$Q$1174,9,0)),"x",VLOOKUP($A35,'liste reference'!$B$6:$Q$1174,9,0)),VLOOKUP($A35,'liste reference'!$A$6:$Q$1174,10,0)))</f>
        <v>2</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Tetraspora sp.</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1138</v>
      </c>
      <c r="R35" s="484" t="n">
        <f aca="false">IF(ISTEXT(H35),"",(B35*$B$7/100)+(C35*$C$7/100))</f>
        <v>0.118</v>
      </c>
      <c r="S35" s="485" t="n">
        <f aca="false">IF(OR(ISTEXT(H35),R35=0),"",IF(R35&lt;0.1,1,IF(R35&lt;1,2,IF(R35&lt;10,3,IF(R35&lt;50,4,IF(R35&gt;=50,5,""))))))</f>
        <v>2</v>
      </c>
      <c r="T35" s="485" t="n">
        <f aca="false">IF(ISERROR(S35*J35),0,S35*J35)</f>
        <v>24</v>
      </c>
      <c r="U35" s="485" t="n">
        <f aca="false">IF(ISERROR(S35*J35*K35),0,S35*J35*K35)</f>
        <v>24</v>
      </c>
      <c r="V35" s="501" t="n">
        <f aca="false">IF(ISERROR(S35*K35),0,S35*K35)</f>
        <v>2</v>
      </c>
      <c r="W35" s="502"/>
      <c r="X35" s="503"/>
      <c r="Y35" s="488" t="str">
        <f aca="false">IF(AND(ISNUMBER(F35),OR(A35="",A35="!!!!!!")),"!!!!!!",IF(A35="new.cod","NEWCOD",IF(AND((Z35=""),ISTEXT(A35),A35&lt;&gt;"!!!!!!"),A35,IF(Z35="","",INDEX('liste reference'!$A$6:$A$1174,Z35)))))</f>
        <v>TETSPX</v>
      </c>
      <c r="Z35" s="470" t="n">
        <f aca="false">IF(ISERROR(MATCH(A35,'liste reference'!$A$6:$A$1174,0)),IF(ISERROR(MATCH(A35,'liste reference'!$B$6:$B$1174,0)),"",(MATCH(A35,'liste reference'!$B$6:$B$1174,0))),(MATCH(A35,'liste reference'!$A$6:$A$1174,0)))</f>
        <v>107</v>
      </c>
    </row>
    <row r="36" customFormat="false" ht="12.75" hidden="false" customHeight="false" outlineLevel="0" collapsed="false">
      <c r="A36" s="489" t="s">
        <v>382</v>
      </c>
      <c r="B36" s="490" t="n">
        <v>1</v>
      </c>
      <c r="C36" s="491" t="n">
        <v>14.1</v>
      </c>
      <c r="D36" s="492" t="str">
        <f aca="false">IF(ISERROR(VLOOKUP($A36,'liste reference'!$A$6:$B$1174,2,0)),IF(ISERROR(VLOOKUP($A36,'liste reference'!$B$6:$B$1174,1,0)),"",VLOOKUP($A36,'liste reference'!$B$6:$B$1174,1,0)),VLOOKUP($A36,'liste reference'!$A$6:$B$1174,2,0))</f>
        <v>Tribonema sp.</v>
      </c>
      <c r="E36" s="493" t="e">
        <f aca="false">IF(D36="",0,VLOOKUP(D36,D$22:D35,1,0))</f>
        <v>#N/A</v>
      </c>
      <c r="F36" s="494" t="n">
        <f aca="false">IF(AND(OR(A36="",A36="!!!!!!"),B36="",C36=""),"",IF(OR(AND(B36="",C36=""),ISERROR(C36+B36)),"!!!",($B36*$B$7+$C36*$C$7)/100))</f>
        <v>8.729</v>
      </c>
      <c r="G36" s="495" t="str">
        <f aca="false">IF(A36="","",IF(ISERROR(VLOOKUP($A36,'liste reference'!$A$6:$Q$1174,9,0)),IF(ISERROR(VLOOKUP($A36,'liste reference'!$B$6:$Q$1174,8,0)),"    -",VLOOKUP($A36,'liste reference'!$B$6:$Q$1174,8,0)),VLOOKUP($A36,'liste reference'!$A$6:$Q$1174,9,0)))</f>
        <v>ALG</v>
      </c>
      <c r="H36" s="496" t="n">
        <f aca="false">IF(A36="","x",IF(ISERROR(VLOOKUP($A36,'liste reference'!$A$6:$Q$1174,10,0)),IF(ISERROR(VLOOKUP($A36,'liste reference'!$B$6:$Q$1174,9,0)),"x",VLOOKUP($A36,'liste reference'!$B$6:$Q$1174,9,0)),VLOOKUP($A36,'liste reference'!$A$6:$Q$1174,10,0)))</f>
        <v>2</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Tribonema sp.</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1167</v>
      </c>
      <c r="R36" s="484" t="n">
        <f aca="false">IF(ISTEXT(H36),"",(B36*$B$7/100)+(C36*$C$7/100))</f>
        <v>8.729</v>
      </c>
      <c r="S36" s="485" t="n">
        <f aca="false">IF(OR(ISTEXT(H36),R36=0),"",IF(R36&lt;0.1,1,IF(R36&lt;1,2,IF(R36&lt;10,3,IF(R36&lt;50,4,IF(R36&gt;=50,5,""))))))</f>
        <v>3</v>
      </c>
      <c r="T36" s="485" t="n">
        <f aca="false">IF(ISERROR(S36*J36),0,S36*J36)</f>
        <v>33</v>
      </c>
      <c r="U36" s="485" t="n">
        <f aca="false">IF(ISERROR(S36*J36*K36),0,S36*J36*K36)</f>
        <v>66</v>
      </c>
      <c r="V36" s="501" t="n">
        <f aca="false">IF(ISERROR(S36*K36),0,S36*K36)</f>
        <v>6</v>
      </c>
      <c r="W36" s="502"/>
      <c r="X36" s="503"/>
      <c r="Y36" s="488" t="str">
        <f aca="false">IF(AND(ISNUMBER(F36),OR(A36="",A36="!!!!!!")),"!!!!!!",IF(A36="new.cod","NEWCOD",IF(AND((Z36=""),ISTEXT(A36),A36&lt;&gt;"!!!!!!"),A36,IF(Z36="","",INDEX('liste reference'!$A$6:$A$1174,Z36)))))</f>
        <v>TRISPX</v>
      </c>
      <c r="Z36" s="470" t="n">
        <f aca="false">IF(ISERROR(MATCH(A36,'liste reference'!$A$6:$A$1174,0)),IF(ISERROR(MATCH(A36,'liste reference'!$B$6:$B$1174,0)),"",(MATCH(A36,'liste reference'!$B$6:$B$1174,0))),(MATCH(A36,'liste reference'!$A$6:$A$1174,0)))</f>
        <v>115</v>
      </c>
    </row>
    <row r="37" customFormat="false" ht="12.75" hidden="false" customHeight="false" outlineLevel="0" collapsed="false">
      <c r="A37" s="489" t="s">
        <v>385</v>
      </c>
      <c r="B37" s="490"/>
      <c r="C37" s="491" t="n">
        <v>2.45</v>
      </c>
      <c r="D37" s="492" t="str">
        <f aca="false">IF(ISERROR(VLOOKUP($A37,'liste reference'!$A$6:$B$1174,2,0)),IF(ISERROR(VLOOKUP($A37,'liste reference'!$B$6:$B$1174,1,0)),"",VLOOKUP($A37,'liste reference'!$B$6:$B$1174,1,0)),VLOOKUP($A37,'liste reference'!$A$6:$B$1174,2,0))</f>
        <v>Ulothrix sp.</v>
      </c>
      <c r="E37" s="493" t="e">
        <f aca="false">IF(D37="",0,VLOOKUP(D37,D$22:D36,1,0))</f>
        <v>#N/A</v>
      </c>
      <c r="F37" s="494" t="n">
        <f aca="false">IF(AND(OR(A37="",A37="!!!!!!"),B37="",C37=""),"",IF(OR(AND(B37="",C37=""),ISERROR(C37+B37)),"!!!",($B37*$B$7+$C37*$C$7)/100))</f>
        <v>1.4455</v>
      </c>
      <c r="G37" s="495" t="str">
        <f aca="false">IF(A37="","",IF(ISERROR(VLOOKUP($A37,'liste reference'!$A$6:$Q$1174,9,0)),IF(ISERROR(VLOOKUP($A37,'liste reference'!$B$6:$Q$1174,8,0)),"    -",VLOOKUP($A37,'liste reference'!$B$6:$Q$1174,8,0)),VLOOKUP($A37,'liste reference'!$A$6:$Q$1174,9,0)))</f>
        <v>ALG</v>
      </c>
      <c r="H37" s="496" t="n">
        <f aca="false">IF(A37="","x",IF(ISERROR(VLOOKUP($A37,'liste reference'!$A$6:$Q$1174,10,0)),IF(ISERROR(VLOOKUP($A37,'liste reference'!$B$6:$Q$1174,9,0)),"x",VLOOKUP($A37,'liste reference'!$B$6:$Q$1174,9,0)),VLOOKUP($A37,'liste reference'!$A$6:$Q$1174,10,0)))</f>
        <v>2</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Ulothrix sp.</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1142</v>
      </c>
      <c r="R37" s="484" t="n">
        <f aca="false">IF(ISTEXT(H37),"",(B37*$B$7/100)+(C37*$C$7/100))</f>
        <v>1.4455</v>
      </c>
      <c r="S37" s="485" t="n">
        <f aca="false">IF(OR(ISTEXT(H37),R37=0),"",IF(R37&lt;0.1,1,IF(R37&lt;1,2,IF(R37&lt;10,3,IF(R37&lt;50,4,IF(R37&gt;=50,5,""))))))</f>
        <v>3</v>
      </c>
      <c r="T37" s="485" t="n">
        <f aca="false">IF(ISERROR(S37*J37),0,S37*J37)</f>
        <v>30</v>
      </c>
      <c r="U37" s="485" t="n">
        <f aca="false">IF(ISERROR(S37*J37*K37),0,S37*J37*K37)</f>
        <v>30</v>
      </c>
      <c r="V37" s="501" t="n">
        <f aca="false">IF(ISERROR(S37*K37),0,S37*K37)</f>
        <v>3</v>
      </c>
      <c r="W37" s="502"/>
      <c r="X37" s="503"/>
      <c r="Y37" s="488" t="str">
        <f aca="false">IF(AND(ISNUMBER(F37),OR(A37="",A37="!!!!!!")),"!!!!!!",IF(A37="new.cod","NEWCOD",IF(AND((Z37=""),ISTEXT(A37),A37&lt;&gt;"!!!!!!"),A37,IF(Z37="","",INDEX('liste reference'!$A$6:$A$1174,Z37)))))</f>
        <v>ULOSPX</v>
      </c>
      <c r="Z37" s="470" t="n">
        <f aca="false">IF(ISERROR(MATCH(A37,'liste reference'!$A$6:$A$1174,0)),IF(ISERROR(MATCH(A37,'liste reference'!$B$6:$B$1174,0)),"",(MATCH(A37,'liste reference'!$B$6:$B$1174,0))),(MATCH(A37,'liste reference'!$A$6:$A$1174,0)))</f>
        <v>116</v>
      </c>
    </row>
    <row r="38" customFormat="false" ht="12.75" hidden="false" customHeight="false" outlineLevel="0" collapsed="false">
      <c r="A38" s="489" t="s">
        <v>395</v>
      </c>
      <c r="B38" s="490" t="n">
        <v>20</v>
      </c>
      <c r="C38" s="491" t="n">
        <v>8</v>
      </c>
      <c r="D38" s="492" t="str">
        <f aca="false">IF(ISERROR(VLOOKUP($A38,'liste reference'!$A$6:$B$1174,2,0)),IF(ISERROR(VLOOKUP($A38,'liste reference'!$B$6:$B$1174,1,0)),"",VLOOKUP($A38,'liste reference'!$B$6:$B$1174,1,0)),VLOOKUP($A38,'liste reference'!$A$6:$B$1174,2,0))</f>
        <v>Vaucheria sp.</v>
      </c>
      <c r="E38" s="493" t="e">
        <f aca="false">IF(D38="",0,VLOOKUP(D38,D$22:D37,1,0))</f>
        <v>#N/A</v>
      </c>
      <c r="F38" s="494" t="n">
        <f aca="false">IF(AND(OR(A38="",A38="!!!!!!"),B38="",C38=""),"",IF(OR(AND(B38="",C38=""),ISERROR(C38+B38)),"!!!",($B38*$B$7+$C38*$C$7)/100))</f>
        <v>12.92</v>
      </c>
      <c r="G38" s="495" t="str">
        <f aca="false">IF(A38="","",IF(ISERROR(VLOOKUP($A38,'liste reference'!$A$6:$Q$1174,9,0)),IF(ISERROR(VLOOKUP($A38,'liste reference'!$B$6:$Q$1174,8,0)),"    -",VLOOKUP($A38,'liste reference'!$B$6:$Q$1174,8,0)),VLOOKUP($A38,'liste reference'!$A$6:$Q$1174,9,0)))</f>
        <v>ALG</v>
      </c>
      <c r="H38" s="496" t="n">
        <f aca="false">IF(A38="","x",IF(ISERROR(VLOOKUP($A38,'liste reference'!$A$6:$Q$1174,10,0)),IF(ISERROR(VLOOKUP($A38,'liste reference'!$B$6:$Q$1174,9,0)),"x",VLOOKUP($A38,'liste reference'!$B$6:$Q$1174,9,0)),VLOOKUP($A38,'liste reference'!$A$6:$Q$1174,10,0)))</f>
        <v>2</v>
      </c>
      <c r="I38" s="281" t="n">
        <f aca="false">IF(A38="","",1)</f>
        <v>1</v>
      </c>
      <c r="J38" s="497" t="n">
        <f aca="false">IF(ISNUMBER($H38),IF(ISERROR(VLOOKUP($A38,'liste reference'!$A$6:$Q$1174,6,0)),IF(ISERROR(VLOOKUP($A38,'liste reference'!$B$6:$Q$1174,5,0)),"nu",VLOOKUP($A38,'liste reference'!$B$6:$Q$1174,5,0)),VLOOKUP($A38,'liste reference'!$A$6:$Q$1174,6,0)),"nu")</f>
        <v>4</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Vaucheria sp.</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1169</v>
      </c>
      <c r="R38" s="484" t="n">
        <f aca="false">IF(ISTEXT(H38),"",(B38*$B$7/100)+(C38*$C$7/100))</f>
        <v>12.92</v>
      </c>
      <c r="S38" s="485" t="n">
        <f aca="false">IF(OR(ISTEXT(H38),R38=0),"",IF(R38&lt;0.1,1,IF(R38&lt;1,2,IF(R38&lt;10,3,IF(R38&lt;50,4,IF(R38&gt;=50,5,""))))))</f>
        <v>4</v>
      </c>
      <c r="T38" s="485" t="n">
        <f aca="false">IF(ISERROR(S38*J38),0,S38*J38)</f>
        <v>16</v>
      </c>
      <c r="U38" s="485" t="n">
        <f aca="false">IF(ISERROR(S38*J38*K38),0,S38*J38*K38)</f>
        <v>16</v>
      </c>
      <c r="V38" s="501" t="n">
        <f aca="false">IF(ISERROR(S38*K38),0,S38*K38)</f>
        <v>4</v>
      </c>
      <c r="W38" s="502"/>
      <c r="X38" s="503"/>
      <c r="Y38" s="488" t="str">
        <f aca="false">IF(AND(ISNUMBER(F38),OR(A38="",A38="!!!!!!")),"!!!!!!",IF(A38="new.cod","NEWCOD",IF(AND((Z38=""),ISTEXT(A38),A38&lt;&gt;"!!!!!!"),A38,IF(Z38="","",INDEX('liste reference'!$A$6:$A$1174,Z38)))))</f>
        <v>VAUSPX</v>
      </c>
      <c r="Z38" s="470" t="n">
        <f aca="false">IF(ISERROR(MATCH(A38,'liste reference'!$A$6:$A$1174,0)),IF(ISERROR(MATCH(A38,'liste reference'!$B$6:$B$1174,0)),"",(MATCH(A38,'liste reference'!$B$6:$B$1174,0))),(MATCH(A38,'liste reference'!$A$6:$A$1174,0)))</f>
        <v>118</v>
      </c>
    </row>
    <row r="39" customFormat="false" ht="12.75" hidden="false" customHeight="false" outlineLevel="0" collapsed="false">
      <c r="A39" s="489" t="s">
        <v>448</v>
      </c>
      <c r="B39" s="490" t="n">
        <v>30</v>
      </c>
      <c r="C39" s="491" t="n">
        <v>1.5</v>
      </c>
      <c r="D39" s="492" t="str">
        <f aca="false">IF(ISERROR(VLOOKUP($A39,'liste reference'!$A$6:$B$1174,2,0)),IF(ISERROR(VLOOKUP($A39,'liste reference'!$B$6:$B$1174,1,0)),"",VLOOKUP($A39,'liste reference'!$B$6:$B$1174,1,0)),VLOOKUP($A39,'liste reference'!$A$6:$B$1174,2,0))</f>
        <v>Chiloscyphus polyanthos</v>
      </c>
      <c r="E39" s="493" t="e">
        <f aca="false">IF(D39="",0,VLOOKUP(D39,D$22:D38,1,0))</f>
        <v>#N/A</v>
      </c>
      <c r="F39" s="494" t="n">
        <f aca="false">IF(AND(OR(A39="",A39="!!!!!!"),B39="",C39=""),"",IF(OR(AND(B39="",C39=""),ISERROR(C39+B39)),"!!!",($B39*$B$7+$C39*$C$7)/100))</f>
        <v>13.185</v>
      </c>
      <c r="G39" s="495" t="str">
        <f aca="false">IF(A39="","",IF(ISERROR(VLOOKUP($A39,'liste reference'!$A$6:$Q$1174,9,0)),IF(ISERROR(VLOOKUP($A39,'liste reference'!$B$6:$Q$1174,8,0)),"    -",VLOOKUP($A39,'liste reference'!$B$6:$Q$1174,8,0)),VLOOKUP($A39,'liste reference'!$A$6:$Q$1174,9,0)))</f>
        <v>BRh</v>
      </c>
      <c r="H39" s="496" t="n">
        <f aca="false">IF(A39="","x",IF(ISERROR(VLOOKUP($A39,'liste reference'!$A$6:$Q$1174,10,0)),IF(ISERROR(VLOOKUP($A39,'liste reference'!$B$6:$Q$1174,9,0)),"x",VLOOKUP($A39,'liste reference'!$B$6:$Q$1174,9,0)),VLOOKUP($A39,'liste reference'!$A$6:$Q$1174,10,0)))</f>
        <v>4</v>
      </c>
      <c r="I39" s="281" t="n">
        <f aca="false">IF(A39="","",1)</f>
        <v>1</v>
      </c>
      <c r="J39" s="497" t="n">
        <f aca="false">IF(ISNUMBER($H39),IF(ISERROR(VLOOKUP($A39,'liste reference'!$A$6:$Q$1174,6,0)),IF(ISERROR(VLOOKUP($A39,'liste reference'!$B$6:$Q$1174,5,0)),"nu",VLOOKUP($A39,'liste reference'!$B$6:$Q$1174,5,0)),VLOOKUP($A39,'liste reference'!$A$6:$Q$1174,6,0)),"nu")</f>
        <v>15</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Chiloscyphus polyanthos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1186</v>
      </c>
      <c r="R39" s="484" t="n">
        <f aca="false">IF(ISTEXT(H39),"",(B39*$B$7/100)+(C39*$C$7/100))</f>
        <v>13.185</v>
      </c>
      <c r="S39" s="485" t="n">
        <f aca="false">IF(OR(ISTEXT(H39),R39=0),"",IF(R39&lt;0.1,1,IF(R39&lt;1,2,IF(R39&lt;10,3,IF(R39&lt;50,4,IF(R39&gt;=50,5,""))))))</f>
        <v>4</v>
      </c>
      <c r="T39" s="485" t="n">
        <f aca="false">IF(ISERROR(S39*J39),0,S39*J39)</f>
        <v>60</v>
      </c>
      <c r="U39" s="485" t="n">
        <f aca="false">IF(ISERROR(S39*J39*K39),0,S39*J39*K39)</f>
        <v>120</v>
      </c>
      <c r="V39" s="501" t="n">
        <f aca="false">IF(ISERROR(S39*K39),0,S39*K39)</f>
        <v>8</v>
      </c>
      <c r="W39" s="502"/>
      <c r="X39" s="503"/>
      <c r="Y39" s="488" t="str">
        <f aca="false">IF(AND(ISNUMBER(F39),OR(A39="",A39="!!!!!!")),"!!!!!!",IF(A39="new.cod","NEWCOD",IF(AND((Z39=""),ISTEXT(A39),A39&lt;&gt;"!!!!!!"),A39,IF(Z39="","",INDEX('liste reference'!$A$6:$A$1174,Z39)))))</f>
        <v>CHIPOL</v>
      </c>
      <c r="Z39" s="470" t="n">
        <f aca="false">IF(ISERROR(MATCH(A39,'liste reference'!$A$6:$A$1174,0)),IF(ISERROR(MATCH(A39,'liste reference'!$B$6:$B$1174,0)),"",(MATCH(A39,'liste reference'!$B$6:$B$1174,0))),(MATCH(A39,'liste reference'!$A$6:$A$1174,0)))</f>
        <v>137</v>
      </c>
    </row>
    <row r="40" customFormat="false" ht="12.75" hidden="false" customHeight="false" outlineLevel="0" collapsed="false">
      <c r="A40" s="489" t="s">
        <v>512</v>
      </c>
      <c r="B40" s="490" t="n">
        <v>0.01</v>
      </c>
      <c r="C40" s="491" t="n">
        <v>0.02</v>
      </c>
      <c r="D40" s="492" t="str">
        <f aca="false">IF(ISERROR(VLOOKUP($A40,'liste reference'!$A$6:$B$1174,2,0)),IF(ISERROR(VLOOKUP($A40,'liste reference'!$B$6:$B$1174,1,0)),"",VLOOKUP($A40,'liste reference'!$B$6:$B$1174,1,0)),VLOOKUP($A40,'liste reference'!$A$6:$B$1174,2,0))</f>
        <v>Marchantia polymorpha</v>
      </c>
      <c r="E40" s="493" t="e">
        <f aca="false">IF(D40="",0,VLOOKUP(D40,D$22:D39,1,0))</f>
        <v>#N/A</v>
      </c>
      <c r="F40" s="494" t="n">
        <f aca="false">IF(AND(OR(A40="",A40="!!!!!!"),B40="",C40=""),"",IF(OR(AND(B40="",C40=""),ISERROR(C40+B40)),"!!!",($B40*$B$7+$C40*$C$7)/100))</f>
        <v>0.0159</v>
      </c>
      <c r="G40" s="495" t="str">
        <f aca="false">IF(A40="","",IF(ISERROR(VLOOKUP($A40,'liste reference'!$A$6:$Q$1174,9,0)),IF(ISERROR(VLOOKUP($A40,'liste reference'!$B$6:$Q$1174,8,0)),"    -",VLOOKUP($A40,'liste reference'!$B$6:$Q$1174,8,0)),VLOOKUP($A40,'liste reference'!$A$6:$Q$1174,9,0)))</f>
        <v>BRh</v>
      </c>
      <c r="H40" s="496" t="n">
        <f aca="false">IF(A40="","x",IF(ISERROR(VLOOKUP($A40,'liste reference'!$A$6:$Q$1174,10,0)),IF(ISERROR(VLOOKUP($A40,'liste reference'!$B$6:$Q$1174,9,0)),"x",VLOOKUP($A40,'liste reference'!$B$6:$Q$1174,9,0)),VLOOKUP($A40,'liste reference'!$A$6:$Q$1174,10,0)))</f>
        <v>4</v>
      </c>
      <c r="I40" s="281" t="n">
        <f aca="false">IF(A40="","",1)</f>
        <v>1</v>
      </c>
      <c r="J40" s="497" t="str">
        <f aca="false">IF(ISNUMBER($H40),IF(ISERROR(VLOOKUP($A40,'liste reference'!$A$6:$Q$1174,6,0)),IF(ISERROR(VLOOKUP($A40,'liste reference'!$B$6:$Q$1174,5,0)),"nu",VLOOKUP($A40,'liste reference'!$B$6:$Q$1174,5,0)),VLOOKUP($A40,'liste reference'!$A$6:$Q$1174,6,0)),"nu")</f>
        <v>nc</v>
      </c>
      <c r="K40" s="497" t="str">
        <f aca="false">IF(ISNUMBER($H40),IF(ISERROR(VLOOKUP($A40,'liste reference'!$A$6:$Q$1174,7,0)),IF(ISERROR(VLOOKUP($A40,'liste reference'!$B$6:$Q$1174,6,0)),"nu",VLOOKUP($A40,'liste reference'!$B$6:$Q$1174,6,0)),VLOOKUP($A40,'liste reference'!$A$6:$Q$1174,7,0)),"nu")</f>
        <v>nc</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Marchantia polymorpha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1192</v>
      </c>
      <c r="R40" s="484" t="n">
        <f aca="false">IF(ISTEXT(H40),"",(B40*$B$7/100)+(C40*$C$7/100))</f>
        <v>0.0159</v>
      </c>
      <c r="S40" s="485" t="n">
        <f aca="false">IF(OR(ISTEXT(H40),R40=0),"",IF(R40&lt;0.1,1,IF(R40&lt;1,2,IF(R40&lt;10,3,IF(R40&lt;50,4,IF(R40&gt;=50,5,""))))))</f>
        <v>1</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MACPOL</v>
      </c>
      <c r="Z40" s="470" t="n">
        <f aca="false">IF(ISERROR(MATCH(A40,'liste reference'!$A$6:$A$1174,0)),IF(ISERROR(MATCH(A40,'liste reference'!$B$6:$B$1174,0)),"",(MATCH(A40,'liste reference'!$B$6:$B$1174,0))),(MATCH(A40,'liste reference'!$A$6:$A$1174,0)))</f>
        <v>156</v>
      </c>
    </row>
    <row r="41" customFormat="false" ht="12.75" hidden="false" customHeight="false" outlineLevel="0" collapsed="false">
      <c r="A41" s="489" t="s">
        <v>557</v>
      </c>
      <c r="B41" s="490" t="n">
        <v>0.01</v>
      </c>
      <c r="C41" s="491" t="n">
        <v>0.01</v>
      </c>
      <c r="D41" s="492" t="str">
        <f aca="false">IF(ISERROR(VLOOKUP($A41,'liste reference'!$A$6:$B$1174,2,0)),IF(ISERROR(VLOOKUP($A41,'liste reference'!$B$6:$B$1174,1,0)),"",VLOOKUP($A41,'liste reference'!$B$6:$B$1174,1,0)),VLOOKUP($A41,'liste reference'!$A$6:$B$1174,2,0))</f>
        <v>Pellia sp.</v>
      </c>
      <c r="E41" s="493" t="e">
        <f aca="false">IF(D41="",0,VLOOKUP(D41,D$22:D40,1,0))</f>
        <v>#N/A</v>
      </c>
      <c r="F41" s="494" t="n">
        <f aca="false">IF(AND(OR(A41="",A41="!!!!!!"),B41="",C41=""),"",IF(OR(AND(B41="",C41=""),ISERROR(C41+B41)),"!!!",($B41*$B$7+$C41*$C$7)/100))</f>
        <v>0.01</v>
      </c>
      <c r="G41" s="495" t="str">
        <f aca="false">IF(A41="","",IF(ISERROR(VLOOKUP($A41,'liste reference'!$A$6:$Q$1174,9,0)),IF(ISERROR(VLOOKUP($A41,'liste reference'!$B$6:$Q$1174,8,0)),"    -",VLOOKUP($A41,'liste reference'!$B$6:$Q$1174,8,0)),VLOOKUP($A41,'liste reference'!$A$6:$Q$1174,9,0)))</f>
        <v>BRh</v>
      </c>
      <c r="H41" s="496" t="n">
        <f aca="false">IF(A41="","x",IF(ISERROR(VLOOKUP($A41,'liste reference'!$A$6:$Q$1174,10,0)),IF(ISERROR(VLOOKUP($A41,'liste reference'!$B$6:$Q$1174,9,0)),"x",VLOOKUP($A41,'liste reference'!$B$6:$Q$1174,9,0)),VLOOKUP($A41,'liste reference'!$A$6:$Q$1174,10,0)))</f>
        <v>4</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Pellia sp.</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1196</v>
      </c>
      <c r="R41" s="484" t="n">
        <f aca="false">IF(ISTEXT(H41),"",(B41*$B$7/100)+(C41*$C$7/100))</f>
        <v>0.01</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PELSPX</v>
      </c>
      <c r="Z41" s="470" t="n">
        <f aca="false">IF(ISERROR(MATCH(A41,'liste reference'!$A$6:$A$1174,0)),IF(ISERROR(MATCH(A41,'liste reference'!$B$6:$B$1174,0)),"",(MATCH(A41,'liste reference'!$B$6:$B$1174,0))),(MATCH(A41,'liste reference'!$A$6:$A$1174,0)))</f>
        <v>170</v>
      </c>
    </row>
    <row r="42" customFormat="false" ht="12.75" hidden="false" customHeight="false" outlineLevel="0" collapsed="false">
      <c r="A42" s="489" t="s">
        <v>704</v>
      </c>
      <c r="B42" s="490" t="n">
        <v>2</v>
      </c>
      <c r="C42" s="491" t="n">
        <v>0.05</v>
      </c>
      <c r="D42" s="492" t="str">
        <f aca="false">IF(ISERROR(VLOOKUP($A42,'liste reference'!$A$6:$B$1174,2,0)),IF(ISERROR(VLOOKUP($A42,'liste reference'!$B$6:$B$1174,1,0)),"",VLOOKUP($A42,'liste reference'!$B$6:$B$1174,1,0)),VLOOKUP($A42,'liste reference'!$A$6:$B$1174,2,0))</f>
        <v>Cinclidotus aquaticus</v>
      </c>
      <c r="E42" s="493" t="e">
        <f aca="false">IF(D42="",0,VLOOKUP(D42,D$22:D41,1,0))</f>
        <v>#N/A</v>
      </c>
      <c r="F42" s="494" t="n">
        <f aca="false">IF(AND(OR(A42="",A42="!!!!!!"),B42="",C42=""),"",IF(OR(AND(B42="",C42=""),ISERROR(C42+B42)),"!!!",($B42*$B$7+$C42*$C$7)/100))</f>
        <v>0.8495</v>
      </c>
      <c r="G42" s="495" t="str">
        <f aca="false">IF(A42="","",IF(ISERROR(VLOOKUP($A42,'liste reference'!$A$6:$Q$1174,9,0)),IF(ISERROR(VLOOKUP($A42,'liste reference'!$B$6:$Q$1174,8,0)),"    -",VLOOKUP($A42,'liste reference'!$B$6:$Q$1174,8,0)),VLOOKUP($A42,'liste reference'!$A$6:$Q$1174,9,0)))</f>
        <v>BRm</v>
      </c>
      <c r="H42" s="496" t="n">
        <f aca="false">IF(A42="","x",IF(ISERROR(VLOOKUP($A42,'liste reference'!$A$6:$Q$1174,10,0)),IF(ISERROR(VLOOKUP($A42,'liste reference'!$B$6:$Q$1174,9,0)),"x",VLOOKUP($A42,'liste reference'!$B$6:$Q$1174,9,0)),VLOOKUP($A42,'liste reference'!$A$6:$Q$1174,10,0)))</f>
        <v>5</v>
      </c>
      <c r="I42" s="281" t="n">
        <f aca="false">IF(A42="","",1)</f>
        <v>1</v>
      </c>
      <c r="J42" s="497" t="n">
        <f aca="false">IF(ISNUMBER($H42),IF(ISERROR(VLOOKUP($A42,'liste reference'!$A$6:$Q$1174,6,0)),IF(ISERROR(VLOOKUP($A42,'liste reference'!$B$6:$Q$1174,5,0)),"nu",VLOOKUP($A42,'liste reference'!$B$6:$Q$1174,5,0)),VLOOKUP($A42,'liste reference'!$A$6:$Q$1174,6,0)),"nu")</f>
        <v>15</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Cinclidotus aquaticus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1318</v>
      </c>
      <c r="R42" s="484" t="n">
        <f aca="false">IF(ISTEXT(H42),"",(B42*$B$7/100)+(C42*$C$7/100))</f>
        <v>0.8495</v>
      </c>
      <c r="S42" s="485" t="n">
        <f aca="false">IF(OR(ISTEXT(H42),R42=0),"",IF(R42&lt;0.1,1,IF(R42&lt;1,2,IF(R42&lt;10,3,IF(R42&lt;50,4,IF(R42&gt;=50,5,""))))))</f>
        <v>2</v>
      </c>
      <c r="T42" s="485" t="n">
        <f aca="false">IF(ISERROR(S42*J42),0,S42*J42)</f>
        <v>30</v>
      </c>
      <c r="U42" s="485" t="n">
        <f aca="false">IF(ISERROR(S42*J42*K42),0,S42*J42*K42)</f>
        <v>60</v>
      </c>
      <c r="V42" s="501" t="n">
        <f aca="false">IF(ISERROR(S42*K42),0,S42*K42)</f>
        <v>4</v>
      </c>
      <c r="W42" s="502"/>
      <c r="X42" s="503"/>
      <c r="Y42" s="488" t="str">
        <f aca="false">IF(AND(ISNUMBER(F42),OR(A42="",A42="!!!!!!")),"!!!!!!",IF(A42="new.cod","NEWCOD",IF(AND((Z42=""),ISTEXT(A42),A42&lt;&gt;"!!!!!!"),A42,IF(Z42="","",INDEX('liste reference'!$A$6:$A$1174,Z42)))))</f>
        <v>CINAQU</v>
      </c>
      <c r="Z42" s="470" t="n">
        <f aca="false">IF(ISERROR(MATCH(A42,'liste reference'!$A$6:$A$1174,0)),IF(ISERROR(MATCH(A42,'liste reference'!$B$6:$B$1174,0)),"",(MATCH(A42,'liste reference'!$B$6:$B$1174,0))),(MATCH(A42,'liste reference'!$A$6:$A$1174,0)))</f>
        <v>221</v>
      </c>
    </row>
    <row r="43" customFormat="false" ht="12.75" hidden="false" customHeight="false" outlineLevel="0" collapsed="false">
      <c r="A43" s="489" t="s">
        <v>707</v>
      </c>
      <c r="B43" s="490" t="n">
        <v>9</v>
      </c>
      <c r="C43" s="491" t="n">
        <v>0.75</v>
      </c>
      <c r="D43" s="492" t="str">
        <f aca="false">IF(ISERROR(VLOOKUP($A43,'liste reference'!$A$6:$B$1174,2,0)),IF(ISERROR(VLOOKUP($A43,'liste reference'!$B$6:$B$1174,1,0)),"",VLOOKUP($A43,'liste reference'!$B$6:$B$1174,1,0)),VLOOKUP($A43,'liste reference'!$A$6:$B$1174,2,0))</f>
        <v>Cinclidotus danubicus</v>
      </c>
      <c r="E43" s="493" t="e">
        <f aca="false">IF(D43="",0,VLOOKUP(D43,D$22:D42,1,0))</f>
        <v>#N/A</v>
      </c>
      <c r="F43" s="494" t="n">
        <f aca="false">IF(AND(OR(A43="",A43="!!!!!!"),B43="",C43=""),"",IF(OR(AND(B43="",C43=""),ISERROR(C43+B43)),"!!!",($B43*$B$7+$C43*$C$7)/100))</f>
        <v>4.1325</v>
      </c>
      <c r="G43" s="495" t="str">
        <f aca="false">IF(A43="","",IF(ISERROR(VLOOKUP($A43,'liste reference'!$A$6:$Q$1174,9,0)),IF(ISERROR(VLOOKUP($A43,'liste reference'!$B$6:$Q$1174,8,0)),"    -",VLOOKUP($A43,'liste reference'!$B$6:$Q$1174,8,0)),VLOOKUP($A43,'liste reference'!$A$6:$Q$1174,9,0)))</f>
        <v>BRm</v>
      </c>
      <c r="H43" s="496" t="n">
        <f aca="false">IF(A43="","x",IF(ISERROR(VLOOKUP($A43,'liste reference'!$A$6:$Q$1174,10,0)),IF(ISERROR(VLOOKUP($A43,'liste reference'!$B$6:$Q$1174,9,0)),"x",VLOOKUP($A43,'liste reference'!$B$6:$Q$1174,9,0)),VLOOKUP($A43,'liste reference'!$A$6:$Q$1174,10,0)))</f>
        <v>5</v>
      </c>
      <c r="I43" s="281" t="n">
        <f aca="false">IF(A43="","",1)</f>
        <v>1</v>
      </c>
      <c r="J43" s="497" t="n">
        <f aca="false">IF(ISNUMBER($H43),IF(ISERROR(VLOOKUP($A43,'liste reference'!$A$6:$Q$1174,6,0)),IF(ISERROR(VLOOKUP($A43,'liste reference'!$B$6:$Q$1174,5,0)),"nu",VLOOKUP($A43,'liste reference'!$B$6:$Q$1174,5,0)),VLOOKUP($A43,'liste reference'!$A$6:$Q$1174,6,0)),"nu")</f>
        <v>13</v>
      </c>
      <c r="K43" s="497" t="n">
        <f aca="false">IF(ISNUMBER($H43),IF(ISERROR(VLOOKUP($A43,'liste reference'!$A$6:$Q$1174,7,0)),IF(ISERROR(VLOOKUP($A43,'liste reference'!$B$6:$Q$1174,6,0)),"nu",VLOOKUP($A43,'liste reference'!$B$6:$Q$1174,6,0)),VLOOKUP($A43,'liste reference'!$A$6:$Q$1174,7,0)),"nu")</f>
        <v>3</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Cinclidotus danubicus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1319</v>
      </c>
      <c r="R43" s="484" t="n">
        <f aca="false">IF(ISTEXT(H43),"",(B43*$B$7/100)+(C43*$C$7/100))</f>
        <v>4.1325</v>
      </c>
      <c r="S43" s="485" t="n">
        <f aca="false">IF(OR(ISTEXT(H43),R43=0),"",IF(R43&lt;0.1,1,IF(R43&lt;1,2,IF(R43&lt;10,3,IF(R43&lt;50,4,IF(R43&gt;=50,5,""))))))</f>
        <v>3</v>
      </c>
      <c r="T43" s="485" t="n">
        <f aca="false">IF(ISERROR(S43*J43),0,S43*J43)</f>
        <v>39</v>
      </c>
      <c r="U43" s="485" t="n">
        <f aca="false">IF(ISERROR(S43*J43*K43),0,S43*J43*K43)</f>
        <v>117</v>
      </c>
      <c r="V43" s="501" t="n">
        <f aca="false">IF(ISERROR(S43*K43),0,S43*K43)</f>
        <v>9</v>
      </c>
      <c r="W43" s="502"/>
      <c r="X43" s="503"/>
      <c r="Y43" s="488" t="str">
        <f aca="false">IF(AND(ISNUMBER(F43),OR(A43="",A43="!!!!!!")),"!!!!!!",IF(A43="new.cod","NEWCOD",IF(AND((Z43=""),ISTEXT(A43),A43&lt;&gt;"!!!!!!"),A43,IF(Z43="","",INDEX('liste reference'!$A$6:$A$1174,Z43)))))</f>
        <v>CINDAN</v>
      </c>
      <c r="Z43" s="470" t="n">
        <f aca="false">IF(ISERROR(MATCH(A43,'liste reference'!$A$6:$A$1174,0)),IF(ISERROR(MATCH(A43,'liste reference'!$B$6:$B$1174,0)),"",(MATCH(A43,'liste reference'!$B$6:$B$1174,0))),(MATCH(A43,'liste reference'!$A$6:$A$1174,0)))</f>
        <v>222</v>
      </c>
    </row>
    <row r="44" customFormat="false" ht="12.75" hidden="false" customHeight="false" outlineLevel="0" collapsed="false">
      <c r="A44" s="489" t="s">
        <v>723</v>
      </c>
      <c r="B44" s="490" t="n">
        <v>0.25</v>
      </c>
      <c r="C44" s="491" t="n">
        <v>0.01</v>
      </c>
      <c r="D44" s="492" t="str">
        <f aca="false">IF(ISERROR(VLOOKUP($A44,'liste reference'!$A$6:$B$1174,2,0)),IF(ISERROR(VLOOKUP($A44,'liste reference'!$B$6:$B$1174,1,0)),"",VLOOKUP($A44,'liste reference'!$B$6:$B$1174,1,0)),VLOOKUP($A44,'liste reference'!$A$6:$B$1174,2,0))</f>
        <v>Cratoneuron filicinum</v>
      </c>
      <c r="E44" s="493" t="e">
        <f aca="false">IF(D44="",0,VLOOKUP(D44,D$22:D43,1,0))</f>
        <v>#N/A</v>
      </c>
      <c r="F44" s="494" t="n">
        <f aca="false">IF(AND(OR(A44="",A44="!!!!!!"),B44="",C44=""),"",IF(OR(AND(B44="",C44=""),ISERROR(C44+B44)),"!!!",($B44*$B$7+$C44*$C$7)/100))</f>
        <v>0.1084</v>
      </c>
      <c r="G44" s="495" t="str">
        <f aca="false">IF(A44="","",IF(ISERROR(VLOOKUP($A44,'liste reference'!$A$6:$Q$1174,9,0)),IF(ISERROR(VLOOKUP($A44,'liste reference'!$B$6:$Q$1174,8,0)),"    -",VLOOKUP($A44,'liste reference'!$B$6:$Q$1174,8,0)),VLOOKUP($A44,'liste reference'!$A$6:$Q$1174,9,0)))</f>
        <v>BRm</v>
      </c>
      <c r="H44" s="496" t="n">
        <f aca="false">IF(A44="","x",IF(ISERROR(VLOOKUP($A44,'liste reference'!$A$6:$Q$1174,10,0)),IF(ISERROR(VLOOKUP($A44,'liste reference'!$B$6:$Q$1174,9,0)),"x",VLOOKUP($A44,'liste reference'!$B$6:$Q$1174,9,0)),VLOOKUP($A44,'liste reference'!$A$6:$Q$1174,10,0)))</f>
        <v>5</v>
      </c>
      <c r="I44" s="281" t="n">
        <f aca="false">IF(A44="","",1)</f>
        <v>1</v>
      </c>
      <c r="J44" s="497" t="n">
        <f aca="false">IF(ISNUMBER($H44),IF(ISERROR(VLOOKUP($A44,'liste reference'!$A$6:$Q$1174,6,0)),IF(ISERROR(VLOOKUP($A44,'liste reference'!$B$6:$Q$1174,5,0)),"nu",VLOOKUP($A44,'liste reference'!$B$6:$Q$1174,5,0)),VLOOKUP($A44,'liste reference'!$A$6:$Q$1174,6,0)),"nu")</f>
        <v>18</v>
      </c>
      <c r="K44" s="497" t="n">
        <f aca="false">IF(ISNUMBER($H44),IF(ISERROR(VLOOKUP($A44,'liste reference'!$A$6:$Q$1174,7,0)),IF(ISERROR(VLOOKUP($A44,'liste reference'!$B$6:$Q$1174,6,0)),"nu",VLOOKUP($A44,'liste reference'!$B$6:$Q$1174,6,0)),VLOOKUP($A44,'liste reference'!$A$6:$Q$1174,7,0)),"nu")</f>
        <v>3</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Cratoneuron filicinum</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1233</v>
      </c>
      <c r="R44" s="484" t="n">
        <f aca="false">IF(ISTEXT(H44),"",(B44*$B$7/100)+(C44*$C$7/100))</f>
        <v>0.1084</v>
      </c>
      <c r="S44" s="485" t="n">
        <f aca="false">IF(OR(ISTEXT(H44),R44=0),"",IF(R44&lt;0.1,1,IF(R44&lt;1,2,IF(R44&lt;10,3,IF(R44&lt;50,4,IF(R44&gt;=50,5,""))))))</f>
        <v>2</v>
      </c>
      <c r="T44" s="485" t="n">
        <f aca="false">IF(ISERROR(S44*J44),0,S44*J44)</f>
        <v>36</v>
      </c>
      <c r="U44" s="485" t="n">
        <f aca="false">IF(ISERROR(S44*J44*K44),0,S44*J44*K44)</f>
        <v>108</v>
      </c>
      <c r="V44" s="501" t="n">
        <f aca="false">IF(ISERROR(S44*K44),0,S44*K44)</f>
        <v>6</v>
      </c>
      <c r="W44" s="502"/>
      <c r="X44" s="503"/>
      <c r="Y44" s="488" t="str">
        <f aca="false">IF(AND(ISNUMBER(F44),OR(A44="",A44="!!!!!!")),"!!!!!!",IF(A44="new.cod","NEWCOD",IF(AND((Z44=""),ISTEXT(A44),A44&lt;&gt;"!!!!!!"),A44,IF(Z44="","",INDEX('liste reference'!$A$6:$A$1174,Z44)))))</f>
        <v>CRAFIL</v>
      </c>
      <c r="Z44" s="470" t="n">
        <f aca="false">IF(ISERROR(MATCH(A44,'liste reference'!$A$6:$A$1174,0)),IF(ISERROR(MATCH(A44,'liste reference'!$B$6:$B$1174,0)),"",(MATCH(A44,'liste reference'!$B$6:$B$1174,0))),(MATCH(A44,'liste reference'!$A$6:$A$1174,0)))</f>
        <v>227</v>
      </c>
    </row>
    <row r="45" customFormat="false" ht="12.75" hidden="false" customHeight="false" outlineLevel="0" collapsed="false">
      <c r="A45" s="489" t="s">
        <v>830</v>
      </c>
      <c r="B45" s="490" t="n">
        <v>0.01</v>
      </c>
      <c r="C45" s="491" t="n">
        <v>0.01</v>
      </c>
      <c r="D45" s="492" t="str">
        <f aca="false">IF(ISERROR(VLOOKUP($A45,'liste reference'!$A$6:$B$1174,2,0)),IF(ISERROR(VLOOKUP($A45,'liste reference'!$B$6:$B$1174,1,0)),"",VLOOKUP($A45,'liste reference'!$B$6:$B$1174,1,0)),VLOOKUP($A45,'liste reference'!$A$6:$B$1174,2,0))</f>
        <v>Fissidens crassipes</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BRm</v>
      </c>
      <c r="H45" s="496" t="n">
        <f aca="false">IF(A45="","x",IF(ISERROR(VLOOKUP($A45,'liste reference'!$A$6:$Q$1174,10,0)),IF(ISERROR(VLOOKUP($A45,'liste reference'!$B$6:$Q$1174,9,0)),"x",VLOOKUP($A45,'liste reference'!$B$6:$Q$1174,9,0)),VLOOKUP($A45,'liste reference'!$A$6:$Q$1174,10,0)))</f>
        <v>5</v>
      </c>
      <c r="I45" s="281" t="n">
        <f aca="false">IF(A45="","",1)</f>
        <v>1</v>
      </c>
      <c r="J45" s="497" t="n">
        <f aca="false">IF(ISNUMBER($H45),IF(ISERROR(VLOOKUP($A45,'liste reference'!$A$6:$Q$1174,6,0)),IF(ISERROR(VLOOKUP($A45,'liste reference'!$B$6:$Q$1174,5,0)),"nu",VLOOKUP($A45,'liste reference'!$B$6:$Q$1174,5,0)),VLOOKUP($A45,'liste reference'!$A$6:$Q$1174,6,0)),"nu")</f>
        <v>12</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Fissidens crassipes</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1294</v>
      </c>
      <c r="R45" s="484" t="n">
        <f aca="false">IF(ISTEXT(H45),"",(B45*$B$7/100)+(C45*$C$7/100))</f>
        <v>0.01</v>
      </c>
      <c r="S45" s="485" t="n">
        <f aca="false">IF(OR(ISTEXT(H45),R45=0),"",IF(R45&lt;0.1,1,IF(R45&lt;1,2,IF(R45&lt;10,3,IF(R45&lt;50,4,IF(R45&gt;=50,5,""))))))</f>
        <v>1</v>
      </c>
      <c r="T45" s="485" t="n">
        <f aca="false">IF(ISERROR(S45*J45),0,S45*J45)</f>
        <v>12</v>
      </c>
      <c r="U45" s="485" t="n">
        <f aca="false">IF(ISERROR(S45*J45*K45),0,S45*J45*K45)</f>
        <v>24</v>
      </c>
      <c r="V45" s="501" t="n">
        <f aca="false">IF(ISERROR(S45*K45),0,S45*K45)</f>
        <v>2</v>
      </c>
      <c r="W45" s="502"/>
      <c r="X45" s="503"/>
      <c r="Y45" s="488" t="str">
        <f aca="false">IF(AND(ISNUMBER(F45),OR(A45="",A45="!!!!!!")),"!!!!!!",IF(A45="new.cod","NEWCOD",IF(AND((Z45=""),ISTEXT(A45),A45&lt;&gt;"!!!!!!"),A45,IF(Z45="","",INDEX('liste reference'!$A$6:$A$1174,Z45)))))</f>
        <v>FISCRA</v>
      </c>
      <c r="Z45" s="470" t="n">
        <f aca="false">IF(ISERROR(MATCH(A45,'liste reference'!$A$6:$A$1174,0)),IF(ISERROR(MATCH(A45,'liste reference'!$B$6:$B$1174,0)),"",(MATCH(A45,'liste reference'!$B$6:$B$1174,0))),(MATCH(A45,'liste reference'!$A$6:$A$1174,0)))</f>
        <v>255</v>
      </c>
    </row>
    <row r="46" customFormat="false" ht="12.75" hidden="false" customHeight="false" outlineLevel="0" collapsed="false">
      <c r="A46" s="489" t="s">
        <v>889</v>
      </c>
      <c r="B46" s="490" t="n">
        <v>0.05</v>
      </c>
      <c r="C46" s="491" t="n">
        <v>5</v>
      </c>
      <c r="D46" s="492" t="str">
        <f aca="false">IF(ISERROR(VLOOKUP($A46,'liste reference'!$A$6:$B$1174,2,0)),IF(ISERROR(VLOOKUP($A46,'liste reference'!$B$6:$B$1174,1,0)),"",VLOOKUP($A46,'liste reference'!$B$6:$B$1174,1,0)),VLOOKUP($A46,'liste reference'!$A$6:$B$1174,2,0))</f>
        <v>Fontinalis antipyretica</v>
      </c>
      <c r="E46" s="493" t="e">
        <f aca="false">IF(D46="",0,VLOOKUP(D46,D$22:D45,1,0))</f>
        <v>#N/A</v>
      </c>
      <c r="F46" s="494" t="n">
        <f aca="false">IF(AND(OR(A46="",A46="!!!!!!"),B46="",C46=""),"",IF(OR(AND(B46="",C46=""),ISERROR(C46+B46)),"!!!",($B46*$B$7+$C46*$C$7)/100))</f>
        <v>2.9705</v>
      </c>
      <c r="G46" s="495" t="str">
        <f aca="false">IF(A46="","",IF(ISERROR(VLOOKUP($A46,'liste reference'!$A$6:$Q$1174,9,0)),IF(ISERROR(VLOOKUP($A46,'liste reference'!$B$6:$Q$1174,8,0)),"    -",VLOOKUP($A46,'liste reference'!$B$6:$Q$1174,8,0)),VLOOKUP($A46,'liste reference'!$A$6:$Q$1174,9,0)))</f>
        <v>BRm</v>
      </c>
      <c r="H46" s="496" t="n">
        <f aca="false">IF(A46="","x",IF(ISERROR(VLOOKUP($A46,'liste reference'!$A$6:$Q$1174,10,0)),IF(ISERROR(VLOOKUP($A46,'liste reference'!$B$6:$Q$1174,9,0)),"x",VLOOKUP($A46,'liste reference'!$B$6:$Q$1174,9,0)),VLOOKUP($A46,'liste reference'!$A$6:$Q$1174,10,0)))</f>
        <v>5</v>
      </c>
      <c r="I46" s="281" t="n">
        <f aca="false">IF(A46="","",1)</f>
        <v>1</v>
      </c>
      <c r="J46" s="497" t="n">
        <f aca="false">IF(ISNUMBER($H46),IF(ISERROR(VLOOKUP($A46,'liste reference'!$A$6:$Q$1174,6,0)),IF(ISERROR(VLOOKUP($A46,'liste reference'!$B$6:$Q$1174,5,0)),"nu",VLOOKUP($A46,'liste reference'!$B$6:$Q$1174,5,0)),VLOOKUP($A46,'liste reference'!$A$6:$Q$1174,6,0)),"nu")</f>
        <v>10</v>
      </c>
      <c r="K46" s="497" t="n">
        <f aca="false">IF(ISNUMBER($H46),IF(ISERROR(VLOOKUP($A46,'liste reference'!$A$6:$Q$1174,7,0)),IF(ISERROR(VLOOKUP($A46,'liste reference'!$B$6:$Q$1174,6,0)),"nu",VLOOKUP($A46,'liste reference'!$B$6:$Q$1174,6,0)),VLOOKUP($A46,'liste reference'!$A$6:$Q$1174,7,0)),"nu")</f>
        <v>1</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Fontinalis antipyretica</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1310</v>
      </c>
      <c r="R46" s="484" t="n">
        <f aca="false">IF(ISTEXT(H46),"",(B46*$B$7/100)+(C46*$C$7/100))</f>
        <v>2.9705</v>
      </c>
      <c r="S46" s="485" t="n">
        <f aca="false">IF(OR(ISTEXT(H46),R46=0),"",IF(R46&lt;0.1,1,IF(R46&lt;1,2,IF(R46&lt;10,3,IF(R46&lt;50,4,IF(R46&gt;=50,5,""))))))</f>
        <v>3</v>
      </c>
      <c r="T46" s="485" t="n">
        <f aca="false">IF(ISERROR(S46*J46),0,S46*J46)</f>
        <v>30</v>
      </c>
      <c r="U46" s="485" t="n">
        <f aca="false">IF(ISERROR(S46*J46*K46),0,S46*J46*K46)</f>
        <v>30</v>
      </c>
      <c r="V46" s="501" t="n">
        <f aca="false">IF(ISERROR(S46*K46),0,S46*K46)</f>
        <v>3</v>
      </c>
      <c r="W46" s="502"/>
      <c r="X46" s="503"/>
      <c r="Y46" s="488" t="str">
        <f aca="false">IF(AND(ISNUMBER(F46),OR(A46="",A46="!!!!!!")),"!!!!!!",IF(A46="new.cod","NEWCOD",IF(AND((Z46=""),ISTEXT(A46),A46&lt;&gt;"!!!!!!"),A46,IF(Z46="","",INDEX('liste reference'!$A$6:$A$1174,Z46)))))</f>
        <v>FONANT</v>
      </c>
      <c r="Z46" s="470" t="n">
        <f aca="false">IF(ISERROR(MATCH(A46,'liste reference'!$A$6:$A$1174,0)),IF(ISERROR(MATCH(A46,'liste reference'!$B$6:$B$1174,0)),"",(MATCH(A46,'liste reference'!$B$6:$B$1174,0))),(MATCH(A46,'liste reference'!$A$6:$A$1174,0)))</f>
        <v>273</v>
      </c>
    </row>
    <row r="47" customFormat="false" ht="12.75" hidden="false" customHeight="false" outlineLevel="0" collapsed="false">
      <c r="A47" s="489" t="s">
        <v>974</v>
      </c>
      <c r="B47" s="490" t="n">
        <v>0.01</v>
      </c>
      <c r="C47" s="491" t="n">
        <v>0.01</v>
      </c>
      <c r="D47" s="492" t="str">
        <f aca="false">IF(ISERROR(VLOOKUP($A47,'liste reference'!$A$6:$B$1174,2,0)),IF(ISERROR(VLOOKUP($A47,'liste reference'!$B$6:$B$1174,1,0)),"",VLOOKUP($A47,'liste reference'!$B$6:$B$1174,1,0)),VLOOKUP($A47,'liste reference'!$A$6:$B$1174,2,0))</f>
        <v>Leptodictyum riparium </v>
      </c>
      <c r="E47" s="493" t="e">
        <f aca="false">IF(D47="",0,VLOOKUP(D47,D$22:D46,1,0))</f>
        <v>#N/A</v>
      </c>
      <c r="F47" s="494" t="n">
        <f aca="false">IF(AND(OR(A47="",A47="!!!!!!"),B47="",C47=""),"",IF(OR(AND(B47="",C47=""),ISERROR(C47+B47)),"!!!",($B47*$B$7+$C47*$C$7)/100))</f>
        <v>0.01</v>
      </c>
      <c r="G47" s="495" t="str">
        <f aca="false">IF(A47="","",IF(ISERROR(VLOOKUP($A47,'liste reference'!$A$6:$Q$1174,9,0)),IF(ISERROR(VLOOKUP($A47,'liste reference'!$B$6:$Q$1174,8,0)),"    -",VLOOKUP($A47,'liste reference'!$B$6:$Q$1174,8,0)),VLOOKUP($A47,'liste reference'!$A$6:$Q$1174,9,0)))</f>
        <v>BRm</v>
      </c>
      <c r="H47" s="496" t="n">
        <f aca="false">IF(A47="","x",IF(ISERROR(VLOOKUP($A47,'liste reference'!$A$6:$Q$1174,10,0)),IF(ISERROR(VLOOKUP($A47,'liste reference'!$B$6:$Q$1174,9,0)),"x",VLOOKUP($A47,'liste reference'!$B$6:$Q$1174,9,0)),VLOOKUP($A47,'liste reference'!$A$6:$Q$1174,10,0)))</f>
        <v>5</v>
      </c>
      <c r="I47" s="281" t="n">
        <f aca="false">IF(A47="","",1)</f>
        <v>1</v>
      </c>
      <c r="J47" s="497" t="n">
        <f aca="false">IF(ISNUMBER($H47),IF(ISERROR(VLOOKUP($A47,'liste reference'!$A$6:$Q$1174,6,0)),IF(ISERROR(VLOOKUP($A47,'liste reference'!$B$6:$Q$1174,5,0)),"nu",VLOOKUP($A47,'liste reference'!$B$6:$Q$1174,5,0)),VLOOKUP($A47,'liste reference'!$A$6:$Q$1174,6,0)),"nu")</f>
        <v>5</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Leptodictyum riparium </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1244</v>
      </c>
      <c r="R47" s="484" t="n">
        <f aca="false">IF(ISTEXT(H47),"",(B47*$B$7/100)+(C47*$C$7/100))</f>
        <v>0.01</v>
      </c>
      <c r="S47" s="485" t="n">
        <f aca="false">IF(OR(ISTEXT(H47),R47=0),"",IF(R47&lt;0.1,1,IF(R47&lt;1,2,IF(R47&lt;10,3,IF(R47&lt;50,4,IF(R47&gt;=50,5,""))))))</f>
        <v>1</v>
      </c>
      <c r="T47" s="485" t="n">
        <f aca="false">IF(ISERROR(S47*J47),0,S47*J47)</f>
        <v>5</v>
      </c>
      <c r="U47" s="485" t="n">
        <f aca="false">IF(ISERROR(S47*J47*K47),0,S47*J47*K47)</f>
        <v>10</v>
      </c>
      <c r="V47" s="501" t="n">
        <f aca="false">IF(ISERROR(S47*K47),0,S47*K47)</f>
        <v>2</v>
      </c>
      <c r="W47" s="502"/>
      <c r="X47" s="503"/>
      <c r="Y47" s="488" t="str">
        <f aca="false">IF(AND(ISNUMBER(F47),OR(A47="",A47="!!!!!!")),"!!!!!!",IF(A47="new.cod","NEWCOD",IF(AND((Z47=""),ISTEXT(A47),A47&lt;&gt;"!!!!!!"),A47,IF(Z47="","",INDEX('liste reference'!$A$6:$A$1174,Z47)))))</f>
        <v>LEORIP</v>
      </c>
      <c r="Z47" s="470" t="n">
        <f aca="false">IF(ISERROR(MATCH(A47,'liste reference'!$A$6:$A$1174,0)),IF(ISERROR(MATCH(A47,'liste reference'!$B$6:$B$1174,0)),"",(MATCH(A47,'liste reference'!$B$6:$B$1174,0))),(MATCH(A47,'liste reference'!$A$6:$A$1174,0)))</f>
        <v>298</v>
      </c>
    </row>
    <row r="48" customFormat="false" ht="12.75" hidden="false" customHeight="false" outlineLevel="0" collapsed="false">
      <c r="A48" s="489" t="s">
        <v>1122</v>
      </c>
      <c r="B48" s="490" t="n">
        <v>1</v>
      </c>
      <c r="C48" s="491" t="n">
        <v>0.02</v>
      </c>
      <c r="D48" s="492" t="str">
        <f aca="false">IF(ISERROR(VLOOKUP($A48,'liste reference'!$A$6:$B$1174,2,0)),IF(ISERROR(VLOOKUP($A48,'liste reference'!$B$6:$B$1174,1,0)),"",VLOOKUP($A48,'liste reference'!$B$6:$B$1174,1,0)),VLOOKUP($A48,'liste reference'!$A$6:$B$1174,2,0))</f>
        <v>Rhynchostegium riparioides</v>
      </c>
      <c r="E48" s="493" t="e">
        <f aca="false">IF(D48="",0,VLOOKUP(D48,D$22:D47,1,0))</f>
        <v>#N/A</v>
      </c>
      <c r="F48" s="494" t="n">
        <f aca="false">IF(AND(OR(A48="",A48="!!!!!!"),B48="",C48=""),"",IF(OR(AND(B48="",C48=""),ISERROR(C48+B48)),"!!!",($B48*$B$7+$C48*$C$7)/100))</f>
        <v>0.4218</v>
      </c>
      <c r="G48" s="495" t="str">
        <f aca="false">IF(A48="","",IF(ISERROR(VLOOKUP($A48,'liste reference'!$A$6:$Q$1174,9,0)),IF(ISERROR(VLOOKUP($A48,'liste reference'!$B$6:$Q$1174,8,0)),"    -",VLOOKUP($A48,'liste reference'!$B$6:$Q$1174,8,0)),VLOOKUP($A48,'liste reference'!$A$6:$Q$1174,9,0)))</f>
        <v>BRm</v>
      </c>
      <c r="H48" s="496" t="n">
        <f aca="false">IF(A48="","x",IF(ISERROR(VLOOKUP($A48,'liste reference'!$A$6:$Q$1174,10,0)),IF(ISERROR(VLOOKUP($A48,'liste reference'!$B$6:$Q$1174,9,0)),"x",VLOOKUP($A48,'liste reference'!$B$6:$Q$1174,9,0)),VLOOKUP($A48,'liste reference'!$A$6:$Q$1174,10,0)))</f>
        <v>5</v>
      </c>
      <c r="I48" s="281" t="n">
        <f aca="false">IF(A48="","",1)</f>
        <v>1</v>
      </c>
      <c r="J48" s="497" t="n">
        <f aca="false">IF(ISNUMBER($H48),IF(ISERROR(VLOOKUP($A48,'liste reference'!$A$6:$Q$1174,6,0)),IF(ISERROR(VLOOKUP($A48,'liste reference'!$B$6:$Q$1174,5,0)),"nu",VLOOKUP($A48,'liste reference'!$B$6:$Q$1174,5,0)),VLOOKUP($A48,'liste reference'!$A$6:$Q$1174,6,0)),"nu")</f>
        <v>12</v>
      </c>
      <c r="K48" s="497" t="n">
        <f aca="false">IF(ISNUMBER($H48),IF(ISERROR(VLOOKUP($A48,'liste reference'!$A$6:$Q$1174,7,0)),IF(ISERROR(VLOOKUP($A48,'liste reference'!$B$6:$Q$1174,6,0)),"nu",VLOOKUP($A48,'liste reference'!$B$6:$Q$1174,6,0)),VLOOKUP($A48,'liste reference'!$A$6:$Q$1174,7,0)),"nu")</f>
        <v>1</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Rhynchostegium riparioides</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31691</v>
      </c>
      <c r="R48" s="484" t="n">
        <f aca="false">IF(ISTEXT(H48),"",(B48*$B$7/100)+(C48*$C$7/100))</f>
        <v>0.4218</v>
      </c>
      <c r="S48" s="485" t="n">
        <f aca="false">IF(OR(ISTEXT(H48),R48=0),"",IF(R48&lt;0.1,1,IF(R48&lt;1,2,IF(R48&lt;10,3,IF(R48&lt;50,4,IF(R48&gt;=50,5,""))))))</f>
        <v>2</v>
      </c>
      <c r="T48" s="485" t="n">
        <f aca="false">IF(ISERROR(S48*J48),0,S48*J48)</f>
        <v>24</v>
      </c>
      <c r="U48" s="485" t="n">
        <f aca="false">IF(ISERROR(S48*J48*K48),0,S48*J48*K48)</f>
        <v>24</v>
      </c>
      <c r="V48" s="501" t="n">
        <f aca="false">IF(ISERROR(S48*K48),0,S48*K48)</f>
        <v>2</v>
      </c>
      <c r="W48" s="502"/>
      <c r="X48" s="503"/>
      <c r="Y48" s="488" t="str">
        <f aca="false">IF(AND(ISNUMBER(F48),OR(A48="",A48="!!!!!!")),"!!!!!!",IF(A48="new.cod","NEWCOD",IF(AND((Z48=""),ISTEXT(A48),A48&lt;&gt;"!!!!!!"),A48,IF(Z48="","",INDEX('liste reference'!$A$6:$A$1174,Z48)))))</f>
        <v>RHYRIP</v>
      </c>
      <c r="Z48" s="470" t="n">
        <f aca="false">IF(ISERROR(MATCH(A48,'liste reference'!$A$6:$A$1174,0)),IF(ISERROR(MATCH(A48,'liste reference'!$B$6:$B$1174,0)),"",(MATCH(A48,'liste reference'!$B$6:$B$1174,0))),(MATCH(A48,'liste reference'!$A$6:$A$1174,0)))</f>
        <v>345</v>
      </c>
    </row>
    <row r="49" customFormat="false" ht="12.75" hidden="false" customHeight="false" outlineLevel="0" collapsed="false">
      <c r="A49" s="489" t="s">
        <v>1401</v>
      </c>
      <c r="B49" s="490" t="n">
        <v>0.01</v>
      </c>
      <c r="C49" s="491" t="n">
        <v>1</v>
      </c>
      <c r="D49" s="492" t="str">
        <f aca="false">IF(ISERROR(VLOOKUP($A49,'liste reference'!$A$6:$B$1174,2,0)),IF(ISERROR(VLOOKUP($A49,'liste reference'!$B$6:$B$1174,1,0)),"",VLOOKUP($A49,'liste reference'!$B$6:$B$1174,1,0)),VLOOKUP($A49,'liste reference'!$A$6:$B$1174,2,0))</f>
        <v>Callitriche obtusangula</v>
      </c>
      <c r="E49" s="493" t="e">
        <f aca="false">IF(D49="",0,VLOOKUP(D49,D$22:D48,1,0))</f>
        <v>#N/A</v>
      </c>
      <c r="F49" s="494" t="n">
        <f aca="false">IF(AND(OR(A49="",A49="!!!!!!"),B49="",C49=""),"",IF(OR(AND(B49="",C49=""),ISERROR(C49+B49)),"!!!",($B49*$B$7+$C49*$C$7)/100))</f>
        <v>0.5941</v>
      </c>
      <c r="G49" s="495" t="str">
        <f aca="false">IF(A49="","",IF(ISERROR(VLOOKUP($A49,'liste reference'!$A$6:$Q$1174,9,0)),IF(ISERROR(VLOOKUP($A49,'liste reference'!$B$6:$Q$1174,8,0)),"    -",VLOOKUP($A49,'liste reference'!$B$6:$Q$1174,8,0)),VLOOKUP($A49,'liste reference'!$A$6:$Q$1174,9,0)))</f>
        <v>PHy</v>
      </c>
      <c r="H49" s="496" t="n">
        <f aca="false">IF(A49="","x",IF(ISERROR(VLOOKUP($A49,'liste reference'!$A$6:$Q$1174,10,0)),IF(ISERROR(VLOOKUP($A49,'liste reference'!$B$6:$Q$1174,9,0)),"x",VLOOKUP($A49,'liste reference'!$B$6:$Q$1174,9,0)),VLOOKUP($A49,'liste reference'!$A$6:$Q$1174,10,0)))</f>
        <v>7</v>
      </c>
      <c r="I49" s="281" t="n">
        <f aca="false">IF(A49="","",1)</f>
        <v>1</v>
      </c>
      <c r="J49" s="497" t="n">
        <f aca="false">IF(ISNUMBER($H49),IF(ISERROR(VLOOKUP($A49,'liste reference'!$A$6:$Q$1174,6,0)),IF(ISERROR(VLOOKUP($A49,'liste reference'!$B$6:$Q$1174,5,0)),"nu",VLOOKUP($A49,'liste reference'!$B$6:$Q$1174,5,0)),VLOOKUP($A49,'liste reference'!$A$6:$Q$1174,6,0)),"nu")</f>
        <v>8</v>
      </c>
      <c r="K49" s="497" t="n">
        <f aca="false">IF(ISNUMBER($H49),IF(ISERROR(VLOOKUP($A49,'liste reference'!$A$6:$Q$1174,7,0)),IF(ISERROR(VLOOKUP($A49,'liste reference'!$B$6:$Q$1174,6,0)),"nu",VLOOKUP($A49,'liste reference'!$B$6:$Q$1174,6,0)),VLOOKUP($A49,'liste reference'!$A$6:$Q$1174,7,0)),"nu")</f>
        <v>2</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Callitriche obtusangula</v>
      </c>
      <c r="M49" s="504"/>
      <c r="N49" s="504"/>
      <c r="O49" s="504"/>
      <c r="P49" s="499" t="s">
        <v>3448</v>
      </c>
      <c r="Q49" s="500" t="n">
        <f aca="false">IF(OR($A49="NEWCOD",$A49="!!!!!!"),IF(X49="","NoCod",X49),IF($A49="","",IF(ISERROR(VLOOKUP($A49,'liste reference'!$A$6:$H$1174,8,0)),IF(ISERROR(VLOOKUP($A49,'liste reference'!$B$6:$H$1174,7,0)),"",VLOOKUP($A49,'liste reference'!$B$6:$H$1174,7,0)),VLOOKUP($A49,'liste reference'!$A$6:$H$1174,8,0))))</f>
        <v>1700</v>
      </c>
      <c r="R49" s="484" t="n">
        <f aca="false">IF(ISTEXT(H49),"",(B49*$B$7/100)+(C49*$C$7/100))</f>
        <v>0.5941</v>
      </c>
      <c r="S49" s="485" t="n">
        <f aca="false">IF(OR(ISTEXT(H49),R49=0),"",IF(R49&lt;0.1,1,IF(R49&lt;1,2,IF(R49&lt;10,3,IF(R49&lt;50,4,IF(R49&gt;=50,5,""))))))</f>
        <v>2</v>
      </c>
      <c r="T49" s="485" t="n">
        <f aca="false">IF(ISERROR(S49*J49),0,S49*J49)</f>
        <v>16</v>
      </c>
      <c r="U49" s="485" t="n">
        <f aca="false">IF(ISERROR(S49*J49*K49),0,S49*J49*K49)</f>
        <v>32</v>
      </c>
      <c r="V49" s="501" t="n">
        <f aca="false">IF(ISERROR(S49*K49),0,S49*K49)</f>
        <v>4</v>
      </c>
      <c r="W49" s="502"/>
      <c r="X49" s="503"/>
      <c r="Y49" s="488" t="str">
        <f aca="false">IF(AND(ISNUMBER(F49),OR(A49="",A49="!!!!!!")),"!!!!!!",IF(A49="new.cod","NEWCOD",IF(AND((Z49=""),ISTEXT(A49),A49&lt;&gt;"!!!!!!"),A49,IF(Z49="","",INDEX('liste reference'!$A$6:$A$1174,Z49)))))</f>
        <v>CALOBT</v>
      </c>
      <c r="Z49" s="470" t="n">
        <f aca="false">IF(ISERROR(MATCH(A49,'liste reference'!$A$6:$A$1174,0)),IF(ISERROR(MATCH(A49,'liste reference'!$B$6:$B$1174,0)),"",(MATCH(A49,'liste reference'!$B$6:$B$1174,0))),(MATCH(A49,'liste reference'!$A$6:$A$1174,0)))</f>
        <v>436</v>
      </c>
    </row>
    <row r="50" customFormat="false" ht="12.75" hidden="false" customHeight="false" outlineLevel="0" collapsed="false">
      <c r="A50" s="489" t="s">
        <v>1471</v>
      </c>
      <c r="B50" s="490" t="n">
        <v>0.01</v>
      </c>
      <c r="C50" s="491"/>
      <c r="D50" s="492" t="str">
        <f aca="false">IF(ISERROR(VLOOKUP($A50,'liste reference'!$A$6:$B$1174,2,0)),IF(ISERROR(VLOOKUP($A50,'liste reference'!$B$6:$B$1174,1,0)),"",VLOOKUP($A50,'liste reference'!$B$6:$B$1174,1,0)),VLOOKUP($A50,'liste reference'!$A$6:$B$1174,2,0))</f>
        <v>Groenlandia densa</v>
      </c>
      <c r="E50" s="493" t="e">
        <f aca="false">IF(D50="",0,VLOOKUP(D50,D$22:D49,1,0))</f>
        <v>#N/A</v>
      </c>
      <c r="F50" s="494" t="n">
        <f aca="false">IF(AND(OR(A50="",A50="!!!!!!"),B50="",C50=""),"",IF(OR(AND(B50="",C50=""),ISERROR(C50+B50)),"!!!",($B50*$B$7+$C50*$C$7)/100))</f>
        <v>0.0041</v>
      </c>
      <c r="G50" s="495" t="str">
        <f aca="false">IF(A50="","",IF(ISERROR(VLOOKUP($A50,'liste reference'!$A$6:$Q$1174,9,0)),IF(ISERROR(VLOOKUP($A50,'liste reference'!$B$6:$Q$1174,8,0)),"    -",VLOOKUP($A50,'liste reference'!$B$6:$Q$1174,8,0)),VLOOKUP($A50,'liste reference'!$A$6:$Q$1174,9,0)))</f>
        <v>PHy</v>
      </c>
      <c r="H50" s="496" t="n">
        <f aca="false">IF(A50="","x",IF(ISERROR(VLOOKUP($A50,'liste reference'!$A$6:$Q$1174,10,0)),IF(ISERROR(VLOOKUP($A50,'liste reference'!$B$6:$Q$1174,9,0)),"x",VLOOKUP($A50,'liste reference'!$B$6:$Q$1174,9,0)),VLOOKUP($A50,'liste reference'!$A$6:$Q$1174,10,0)))</f>
        <v>7</v>
      </c>
      <c r="I50" s="281" t="n">
        <f aca="false">IF(A50="","",1)</f>
        <v>1</v>
      </c>
      <c r="J50" s="497" t="n">
        <f aca="false">IF(ISNUMBER($H50),IF(ISERROR(VLOOKUP($A50,'liste reference'!$A$6:$Q$1174,6,0)),IF(ISERROR(VLOOKUP($A50,'liste reference'!$B$6:$Q$1174,5,0)),"nu",VLOOKUP($A50,'liste reference'!$B$6:$Q$1174,5,0)),VLOOKUP($A50,'liste reference'!$A$6:$Q$1174,6,0)),"nu")</f>
        <v>11</v>
      </c>
      <c r="K50" s="497" t="n">
        <f aca="false">IF(ISNUMBER($H50),IF(ISERROR(VLOOKUP($A50,'liste reference'!$A$6:$Q$1174,7,0)),IF(ISERROR(VLOOKUP($A50,'liste reference'!$B$6:$Q$1174,6,0)),"nu",VLOOKUP($A50,'liste reference'!$B$6:$Q$1174,6,0)),VLOOKUP($A50,'liste reference'!$A$6:$Q$1174,7,0)),"nu")</f>
        <v>2</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Groenlandia densa</v>
      </c>
      <c r="M50" s="498"/>
      <c r="N50" s="498"/>
      <c r="O50" s="498"/>
      <c r="P50" s="499" t="s">
        <v>3448</v>
      </c>
      <c r="Q50" s="500" t="n">
        <f aca="false">IF(OR($A50="NEWCOD",$A50="!!!!!!"),IF(X50="","NoCod",X50),IF($A50="","",IF(ISERROR(VLOOKUP($A50,'liste reference'!$A$6:$H$1174,8,0)),IF(ISERROR(VLOOKUP($A50,'liste reference'!$B$6:$H$1174,7,0)),"",VLOOKUP($A50,'liste reference'!$B$6:$H$1174,7,0)),VLOOKUP($A50,'liste reference'!$A$6:$H$1174,8,0))))</f>
        <v>1638</v>
      </c>
      <c r="R50" s="484" t="n">
        <f aca="false">IF(ISTEXT(H50),"",(B50*$B$7/100)+(C50*$C$7/100))</f>
        <v>0.0041</v>
      </c>
      <c r="S50" s="485" t="n">
        <f aca="false">IF(OR(ISTEXT(H50),R50=0),"",IF(R50&lt;0.1,1,IF(R50&lt;1,2,IF(R50&lt;10,3,IF(R50&lt;50,4,IF(R50&gt;=50,5,""))))))</f>
        <v>1</v>
      </c>
      <c r="T50" s="485" t="n">
        <f aca="false">IF(ISERROR(S50*J50),0,S50*J50)</f>
        <v>11</v>
      </c>
      <c r="U50" s="485" t="n">
        <f aca="false">IF(ISERROR(S50*J50*K50),0,S50*J50*K50)</f>
        <v>22</v>
      </c>
      <c r="V50" s="501" t="n">
        <f aca="false">IF(ISERROR(S50*K50),0,S50*K50)</f>
        <v>2</v>
      </c>
      <c r="W50" s="502"/>
      <c r="X50" s="503"/>
      <c r="Y50" s="488" t="str">
        <f aca="false">IF(AND(ISNUMBER(F50),OR(A50="",A50="!!!!!!")),"!!!!!!",IF(A50="new.cod","NEWCOD",IF(AND((Z50=""),ISTEXT(A50),A50&lt;&gt;"!!!!!!"),A50,IF(Z50="","",INDEX('liste reference'!$A$6:$A$1174,Z50)))))</f>
        <v>GRODEN</v>
      </c>
      <c r="Z50" s="470" t="n">
        <f aca="false">IF(ISERROR(MATCH(A50,'liste reference'!$A$6:$A$1174,0)),IF(ISERROR(MATCH(A50,'liste reference'!$B$6:$B$1174,0)),"",(MATCH(A50,'liste reference'!$B$6:$B$1174,0))),(MATCH(A50,'liste reference'!$A$6:$A$1174,0)))</f>
        <v>458</v>
      </c>
    </row>
    <row r="51" customFormat="false" ht="12.75" hidden="false" customHeight="false" outlineLevel="0" collapsed="false">
      <c r="A51" s="489" t="s">
        <v>1483</v>
      </c>
      <c r="B51" s="490" t="n">
        <v>0.5</v>
      </c>
      <c r="C51" s="491" t="n">
        <v>2</v>
      </c>
      <c r="D51" s="492" t="str">
        <f aca="false">IF(ISERROR(VLOOKUP($A51,'liste reference'!$A$6:$B$1174,2,0)),IF(ISERROR(VLOOKUP($A51,'liste reference'!$B$6:$B$1174,1,0)),"",VLOOKUP($A51,'liste reference'!$B$6:$B$1174,1,0)),VLOOKUP($A51,'liste reference'!$A$6:$B$1174,2,0))</f>
        <v>Helosciadium nodiflorum </v>
      </c>
      <c r="E51" s="493" t="e">
        <f aca="false">IF(D51="",0,VLOOKUP(D51,D$22:D50,1,0))</f>
        <v>#N/A</v>
      </c>
      <c r="F51" s="494" t="n">
        <f aca="false">IF(AND(OR(A51="",A51="!!!!!!"),B51="",C51=""),"",IF(OR(AND(B51="",C51=""),ISERROR(C51+B51)),"!!!",($B51*$B$7+$C51*$C$7)/100))</f>
        <v>1.385</v>
      </c>
      <c r="G51" s="495" t="str">
        <f aca="false">IF(A51="","",IF(ISERROR(VLOOKUP($A51,'liste reference'!$A$6:$Q$1174,9,0)),IF(ISERROR(VLOOKUP($A51,'liste reference'!$B$6:$Q$1174,8,0)),"    -",VLOOKUP($A51,'liste reference'!$B$6:$Q$1174,8,0)),VLOOKUP($A51,'liste reference'!$A$6:$Q$1174,9,0)))</f>
        <v>PHy</v>
      </c>
      <c r="H51" s="496" t="n">
        <f aca="false">IF(A51="","x",IF(ISERROR(VLOOKUP($A51,'liste reference'!$A$6:$Q$1174,10,0)),IF(ISERROR(VLOOKUP($A51,'liste reference'!$B$6:$Q$1174,9,0)),"x",VLOOKUP($A51,'liste reference'!$B$6:$Q$1174,9,0)),VLOOKUP($A51,'liste reference'!$A$6:$Q$1174,10,0)))</f>
        <v>7</v>
      </c>
      <c r="I51" s="281" t="n">
        <f aca="false">IF(A51="","",1)</f>
        <v>1</v>
      </c>
      <c r="J51" s="497" t="n">
        <f aca="false">IF(ISNUMBER($H51),IF(ISERROR(VLOOKUP($A51,'liste reference'!$A$6:$Q$1174,6,0)),IF(ISERROR(VLOOKUP($A51,'liste reference'!$B$6:$Q$1174,5,0)),"nu",VLOOKUP($A51,'liste reference'!$B$6:$Q$1174,5,0)),VLOOKUP($A51,'liste reference'!$A$6:$Q$1174,6,0)),"nu")</f>
        <v>10</v>
      </c>
      <c r="K51" s="497" t="n">
        <f aca="false">IF(ISNUMBER($H51),IF(ISERROR(VLOOKUP($A51,'liste reference'!$A$6:$Q$1174,7,0)),IF(ISERROR(VLOOKUP($A51,'liste reference'!$B$6:$Q$1174,6,0)),"nu",VLOOKUP($A51,'liste reference'!$B$6:$Q$1174,6,0)),VLOOKUP($A51,'liste reference'!$A$6:$Q$1174,7,0)),"nu")</f>
        <v>1</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Helosciadium nodiflorum </v>
      </c>
      <c r="M51" s="498"/>
      <c r="N51" s="498"/>
      <c r="O51" s="498"/>
      <c r="P51" s="499" t="s">
        <v>3448</v>
      </c>
      <c r="Q51" s="500" t="n">
        <f aca="false">IF(OR($A51="NEWCOD",$A51="!!!!!!"),IF(X51="","NoCod",X51),IF($A51="","",IF(ISERROR(VLOOKUP($A51,'liste reference'!$A$6:$H$1174,8,0)),IF(ISERROR(VLOOKUP($A51,'liste reference'!$B$6:$H$1174,7,0)),"",VLOOKUP($A51,'liste reference'!$B$6:$H$1174,7,0)),VLOOKUP($A51,'liste reference'!$A$6:$H$1174,8,0))))</f>
        <v>30053</v>
      </c>
      <c r="R51" s="484" t="n">
        <f aca="false">IF(ISTEXT(H51),"",(B51*$B$7/100)+(C51*$C$7/100))</f>
        <v>1.385</v>
      </c>
      <c r="S51" s="485" t="n">
        <f aca="false">IF(OR(ISTEXT(H51),R51=0),"",IF(R51&lt;0.1,1,IF(R51&lt;1,2,IF(R51&lt;10,3,IF(R51&lt;50,4,IF(R51&gt;=50,5,""))))))</f>
        <v>3</v>
      </c>
      <c r="T51" s="485" t="n">
        <f aca="false">IF(ISERROR(S51*J51),0,S51*J51)</f>
        <v>30</v>
      </c>
      <c r="U51" s="485" t="n">
        <f aca="false">IF(ISERROR(S51*J51*K51),0,S51*J51*K51)</f>
        <v>30</v>
      </c>
      <c r="V51" s="501" t="n">
        <f aca="false">IF(ISERROR(S51*K51),0,S51*K51)</f>
        <v>3</v>
      </c>
      <c r="W51" s="502"/>
      <c r="X51" s="503"/>
      <c r="Y51" s="488" t="str">
        <f aca="false">IF(AND(ISNUMBER(F51),OR(A51="",A51="!!!!!!")),"!!!!!!",IF(A51="new.cod","NEWCOD",IF(AND((Z51=""),ISTEXT(A51),A51&lt;&gt;"!!!!!!"),A51,IF(Z51="","",INDEX('liste reference'!$A$6:$A$1174,Z51)))))</f>
        <v>HELNOD</v>
      </c>
      <c r="Z51" s="470" t="n">
        <f aca="false">IF(ISERROR(MATCH(A51,'liste reference'!$A$6:$A$1174,0)),IF(ISERROR(MATCH(A51,'liste reference'!$B$6:$B$1174,0)),"",(MATCH(A51,'liste reference'!$B$6:$B$1174,0))),(MATCH(A51,'liste reference'!$A$6:$A$1174,0)))</f>
        <v>460</v>
      </c>
    </row>
    <row r="52" customFormat="false" ht="12.75" hidden="false" customHeight="false" outlineLevel="0" collapsed="false">
      <c r="A52" s="489" t="s">
        <v>1522</v>
      </c>
      <c r="B52" s="490" t="n">
        <v>0.5</v>
      </c>
      <c r="C52" s="491" t="n">
        <v>1</v>
      </c>
      <c r="D52" s="492" t="str">
        <f aca="false">IF(ISERROR(VLOOKUP($A52,'liste reference'!$A$6:$B$1174,2,0)),IF(ISERROR(VLOOKUP($A52,'liste reference'!$B$6:$B$1174,1,0)),"",VLOOKUP($A52,'liste reference'!$B$6:$B$1174,1,0)),VLOOKUP($A52,'liste reference'!$A$6:$B$1174,2,0))</f>
        <v>Lemna minor</v>
      </c>
      <c r="E52" s="493" t="e">
        <f aca="false">IF(D52="",0,VLOOKUP(D52,D$22:D51,1,0))</f>
        <v>#N/A</v>
      </c>
      <c r="F52" s="494" t="n">
        <f aca="false">IF(AND(OR(A52="",A52="!!!!!!"),B52="",C52=""),"",IF(OR(AND(B52="",C52=""),ISERROR(C52+B52)),"!!!",($B52*$B$7+$C52*$C$7)/100))</f>
        <v>0.795</v>
      </c>
      <c r="G52" s="495" t="str">
        <f aca="false">IF(A52="","",IF(ISERROR(VLOOKUP($A52,'liste reference'!$A$6:$Q$1174,9,0)),IF(ISERROR(VLOOKUP($A52,'liste reference'!$B$6:$Q$1174,8,0)),"    -",VLOOKUP($A52,'liste reference'!$B$6:$Q$1174,8,0)),VLOOKUP($A52,'liste reference'!$A$6:$Q$1174,9,0)))</f>
        <v>PHy</v>
      </c>
      <c r="H52" s="496" t="n">
        <f aca="false">IF(A52="","x",IF(ISERROR(VLOOKUP($A52,'liste reference'!$A$6:$Q$1174,10,0)),IF(ISERROR(VLOOKUP($A52,'liste reference'!$B$6:$Q$1174,9,0)),"x",VLOOKUP($A52,'liste reference'!$B$6:$Q$1174,9,0)),VLOOKUP($A52,'liste reference'!$A$6:$Q$1174,10,0)))</f>
        <v>7</v>
      </c>
      <c r="I52" s="281" t="n">
        <f aca="false">IF(A52="","",1)</f>
        <v>1</v>
      </c>
      <c r="J52" s="497" t="n">
        <f aca="false">IF(ISNUMBER($H52),IF(ISERROR(VLOOKUP($A52,'liste reference'!$A$6:$Q$1174,6,0)),IF(ISERROR(VLOOKUP($A52,'liste reference'!$B$6:$Q$1174,5,0)),"nu",VLOOKUP($A52,'liste reference'!$B$6:$Q$1174,5,0)),VLOOKUP($A52,'liste reference'!$A$6:$Q$1174,6,0)),"nu")</f>
        <v>10</v>
      </c>
      <c r="K52" s="497" t="n">
        <f aca="false">IF(ISNUMBER($H52),IF(ISERROR(VLOOKUP($A52,'liste reference'!$A$6:$Q$1174,7,0)),IF(ISERROR(VLOOKUP($A52,'liste reference'!$B$6:$Q$1174,6,0)),"nu",VLOOKUP($A52,'liste reference'!$B$6:$Q$1174,6,0)),VLOOKUP($A52,'liste reference'!$A$6:$Q$1174,7,0)),"nu")</f>
        <v>1</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Lemna minor</v>
      </c>
      <c r="M52" s="498"/>
      <c r="N52" s="498"/>
      <c r="O52" s="498"/>
      <c r="P52" s="499" t="s">
        <v>3448</v>
      </c>
      <c r="Q52" s="500" t="n">
        <f aca="false">IF(OR($A52="NEWCOD",$A52="!!!!!!"),IF(X52="","NoCod",X52),IF($A52="","",IF(ISERROR(VLOOKUP($A52,'liste reference'!$A$6:$H$1174,8,0)),IF(ISERROR(VLOOKUP($A52,'liste reference'!$B$6:$H$1174,7,0)),"",VLOOKUP($A52,'liste reference'!$B$6:$H$1174,7,0)),VLOOKUP($A52,'liste reference'!$A$6:$H$1174,8,0))))</f>
        <v>1626</v>
      </c>
      <c r="R52" s="484" t="n">
        <f aca="false">IF(ISTEXT(H52),"",(B52*$B$7/100)+(C52*$C$7/100))</f>
        <v>0.795</v>
      </c>
      <c r="S52" s="485" t="n">
        <f aca="false">IF(OR(ISTEXT(H52),R52=0),"",IF(R52&lt;0.1,1,IF(R52&lt;1,2,IF(R52&lt;10,3,IF(R52&lt;50,4,IF(R52&gt;=50,5,""))))))</f>
        <v>2</v>
      </c>
      <c r="T52" s="485" t="n">
        <f aca="false">IF(ISERROR(S52*J52),0,S52*J52)</f>
        <v>20</v>
      </c>
      <c r="U52" s="485" t="n">
        <f aca="false">IF(ISERROR(S52*J52*K52),0,S52*J52*K52)</f>
        <v>20</v>
      </c>
      <c r="V52" s="501" t="n">
        <f aca="false">IF(ISERROR(S52*K52),0,S52*K52)</f>
        <v>2</v>
      </c>
      <c r="W52" s="502"/>
      <c r="X52" s="503"/>
      <c r="Y52" s="488" t="str">
        <f aca="false">IF(AND(ISNUMBER(F52),OR(A52="",A52="!!!!!!")),"!!!!!!",IF(A52="new.cod","NEWCOD",IF(AND((Z52=""),ISTEXT(A52),A52&lt;&gt;"!!!!!!"),A52,IF(Z52="","",INDEX('liste reference'!$A$6:$A$1174,Z52)))))</f>
        <v>LEMMIN</v>
      </c>
      <c r="Z52" s="470" t="n">
        <f aca="false">IF(ISERROR(MATCH(A52,'liste reference'!$A$6:$A$1174,0)),IF(ISERROR(MATCH(A52,'liste reference'!$B$6:$B$1174,0)),"",(MATCH(A52,'liste reference'!$B$6:$B$1174,0))),(MATCH(A52,'liste reference'!$A$6:$A$1174,0)))</f>
        <v>473</v>
      </c>
    </row>
    <row r="53" customFormat="false" ht="12.75" hidden="false" customHeight="false" outlineLevel="0" collapsed="false">
      <c r="A53" s="489" t="s">
        <v>2136</v>
      </c>
      <c r="B53" s="490" t="n">
        <v>2.25</v>
      </c>
      <c r="C53" s="491" t="n">
        <v>0.5</v>
      </c>
      <c r="D53" s="492" t="str">
        <f aca="false">IF(ISERROR(VLOOKUP($A53,'liste reference'!$A$6:$B$1174,2,0)),IF(ISERROR(VLOOKUP($A53,'liste reference'!$B$6:$B$1174,1,0)),"",VLOOKUP($A53,'liste reference'!$B$6:$B$1174,1,0)),VLOOKUP($A53,'liste reference'!$A$6:$B$1174,2,0))</f>
        <v>Mentha aquatica</v>
      </c>
      <c r="E53" s="493" t="e">
        <f aca="false">IF(D53="",0,VLOOKUP(D53,D$22:D52,1,0))</f>
        <v>#N/A</v>
      </c>
      <c r="F53" s="494" t="n">
        <f aca="false">IF(AND(OR(A53="",A53="!!!!!!"),B53="",C53=""),"",IF(OR(AND(B53="",C53=""),ISERROR(C53+B53)),"!!!",($B53*$B$7+$C53*$C$7)/100))</f>
        <v>1.2175</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8</v>
      </c>
      <c r="I53" s="281" t="n">
        <f aca="false">IF(A53="","",1)</f>
        <v>1</v>
      </c>
      <c r="J53" s="497" t="n">
        <f aca="false">IF(ISNUMBER($H53),IF(ISERROR(VLOOKUP($A53,'liste reference'!$A$6:$Q$1174,6,0)),IF(ISERROR(VLOOKUP($A53,'liste reference'!$B$6:$Q$1174,5,0)),"nu",VLOOKUP($A53,'liste reference'!$B$6:$Q$1174,5,0)),VLOOKUP($A53,'liste reference'!$A$6:$Q$1174,6,0)),"nu")</f>
        <v>12</v>
      </c>
      <c r="K53" s="497" t="n">
        <f aca="false">IF(ISNUMBER($H53),IF(ISERROR(VLOOKUP($A53,'liste reference'!$A$6:$Q$1174,7,0)),IF(ISERROR(VLOOKUP($A53,'liste reference'!$B$6:$Q$1174,6,0)),"nu",VLOOKUP($A53,'liste reference'!$B$6:$Q$1174,6,0)),VLOOKUP($A53,'liste reference'!$A$6:$Q$1174,7,0)),"nu")</f>
        <v>1</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Mentha aquatica</v>
      </c>
      <c r="M53" s="498"/>
      <c r="N53" s="498"/>
      <c r="O53" s="498"/>
      <c r="P53" s="499" t="s">
        <v>3448</v>
      </c>
      <c r="Q53" s="500" t="n">
        <f aca="false">IF(OR($A53="NEWCOD",$A53="!!!!!!"),IF(X53="","NoCod",X53),IF($A53="","",IF(ISERROR(VLOOKUP($A53,'liste reference'!$A$6:$H$1174,8,0)),IF(ISERROR(VLOOKUP($A53,'liste reference'!$B$6:$H$1174,7,0)),"",VLOOKUP($A53,'liste reference'!$B$6:$H$1174,7,0)),VLOOKUP($A53,'liste reference'!$A$6:$H$1174,8,0))))</f>
        <v>1791</v>
      </c>
      <c r="R53" s="484" t="n">
        <f aca="false">IF(ISTEXT(H53),"",(B53*$B$7/100)+(C53*$C$7/100))</f>
        <v>1.2175</v>
      </c>
      <c r="S53" s="485" t="n">
        <f aca="false">IF(OR(ISTEXT(H53),R53=0),"",IF(R53&lt;0.1,1,IF(R53&lt;1,2,IF(R53&lt;10,3,IF(R53&lt;50,4,IF(R53&gt;=50,5,""))))))</f>
        <v>3</v>
      </c>
      <c r="T53" s="485" t="n">
        <f aca="false">IF(ISERROR(S53*J53),0,S53*J53)</f>
        <v>36</v>
      </c>
      <c r="U53" s="485" t="n">
        <f aca="false">IF(ISERROR(S53*J53*K53),0,S53*J53*K53)</f>
        <v>36</v>
      </c>
      <c r="V53" s="501" t="n">
        <f aca="false">IF(ISERROR(S53*K53),0,S53*K53)</f>
        <v>3</v>
      </c>
      <c r="W53" s="502"/>
      <c r="X53" s="503"/>
      <c r="Y53" s="488" t="str">
        <f aca="false">IF(AND(ISNUMBER(F53),OR(A53="",A53="!!!!!!")),"!!!!!!",IF(A53="new.cod","NEWCOD",IF(AND((Z53=""),ISTEXT(A53),A53&lt;&gt;"!!!!!!"),A53,IF(Z53="","",INDEX('liste reference'!$A$6:$A$1174,Z53)))))</f>
        <v>MENAQU</v>
      </c>
      <c r="Z53" s="470" t="n">
        <f aca="false">IF(ISERROR(MATCH(A53,'liste reference'!$A$6:$A$1174,0)),IF(ISERROR(MATCH(A53,'liste reference'!$B$6:$B$1174,0)),"",(MATCH(A53,'liste reference'!$B$6:$B$1174,0))),(MATCH(A53,'liste reference'!$A$6:$A$1174,0)))</f>
        <v>694</v>
      </c>
    </row>
    <row r="54" customFormat="false" ht="12.75" hidden="false" customHeight="false" outlineLevel="0" collapsed="false">
      <c r="A54" s="489" t="s">
        <v>2164</v>
      </c>
      <c r="B54" s="490" t="n">
        <v>0.01</v>
      </c>
      <c r="C54" s="491" t="n">
        <v>0.05</v>
      </c>
      <c r="D54" s="492" t="str">
        <f aca="false">IF(ISERROR(VLOOKUP($A54,'liste reference'!$A$6:$B$1174,2,0)),IF(ISERROR(VLOOKUP($A54,'liste reference'!$B$6:$B$1174,1,0)),"",VLOOKUP($A54,'liste reference'!$B$6:$B$1174,1,0)),VLOOKUP($A54,'liste reference'!$A$6:$B$1174,2,0))</f>
        <v>Nasturtium officinale</v>
      </c>
      <c r="E54" s="493" t="e">
        <f aca="false">IF(D54="",0,VLOOKUP(D54,D$22:D53,1,0))</f>
        <v>#N/A</v>
      </c>
      <c r="F54" s="494" t="n">
        <f aca="false">IF(AND(OR(A54="",A54="!!!!!!"),B54="",C54=""),"",IF(OR(AND(B54="",C54=""),ISERROR(C54+B54)),"!!!",($B54*$B$7+$C54*$C$7)/100))</f>
        <v>0.0336</v>
      </c>
      <c r="G54" s="495" t="str">
        <f aca="false">IF(A54="","",IF(ISERROR(VLOOKUP($A54,'liste reference'!$A$6:$Q$1174,9,0)),IF(ISERROR(VLOOKUP($A54,'liste reference'!$B$6:$Q$1174,8,0)),"    -",VLOOKUP($A54,'liste reference'!$B$6:$Q$1174,8,0)),VLOOKUP($A54,'liste reference'!$A$6:$Q$1174,9,0)))</f>
        <v>PHe</v>
      </c>
      <c r="H54" s="496" t="n">
        <f aca="false">IF(A54="","x",IF(ISERROR(VLOOKUP($A54,'liste reference'!$A$6:$Q$1174,10,0)),IF(ISERROR(VLOOKUP($A54,'liste reference'!$B$6:$Q$1174,9,0)),"x",VLOOKUP($A54,'liste reference'!$B$6:$Q$1174,9,0)),VLOOKUP($A54,'liste reference'!$A$6:$Q$1174,10,0)))</f>
        <v>8</v>
      </c>
      <c r="I54" s="281" t="n">
        <f aca="false">IF(A54="","",1)</f>
        <v>1</v>
      </c>
      <c r="J54" s="497" t="n">
        <f aca="false">IF(ISNUMBER($H54),IF(ISERROR(VLOOKUP($A54,'liste reference'!$A$6:$Q$1174,6,0)),IF(ISERROR(VLOOKUP($A54,'liste reference'!$B$6:$Q$1174,5,0)),"nu",VLOOKUP($A54,'liste reference'!$B$6:$Q$1174,5,0)),VLOOKUP($A54,'liste reference'!$A$6:$Q$1174,6,0)),"nu")</f>
        <v>11</v>
      </c>
      <c r="K54" s="497" t="n">
        <f aca="false">IF(ISNUMBER($H54),IF(ISERROR(VLOOKUP($A54,'liste reference'!$A$6:$Q$1174,7,0)),IF(ISERROR(VLOOKUP($A54,'liste reference'!$B$6:$Q$1174,6,0)),"nu",VLOOKUP($A54,'liste reference'!$B$6:$Q$1174,6,0)),VLOOKUP($A54,'liste reference'!$A$6:$Q$1174,7,0)),"nu")</f>
        <v>1</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Nasturtium officinale</v>
      </c>
      <c r="M54" s="498"/>
      <c r="N54" s="498"/>
      <c r="O54" s="498"/>
      <c r="P54" s="499" t="s">
        <v>3448</v>
      </c>
      <c r="Q54" s="500" t="n">
        <f aca="false">IF(OR($A54="NEWCOD",$A54="!!!!!!"),IF(X54="","NoCod",X54),IF($A54="","",IF(ISERROR(VLOOKUP($A54,'liste reference'!$A$6:$H$1174,8,0)),IF(ISERROR(VLOOKUP($A54,'liste reference'!$B$6:$H$1174,7,0)),"",VLOOKUP($A54,'liste reference'!$B$6:$H$1174,7,0)),VLOOKUP($A54,'liste reference'!$A$6:$H$1174,8,0))))</f>
        <v>1763</v>
      </c>
      <c r="R54" s="484" t="n">
        <f aca="false">IF(ISTEXT(H54),"",(B54*$B$7/100)+(C54*$C$7/100))</f>
        <v>0.0336</v>
      </c>
      <c r="S54" s="485" t="n">
        <f aca="false">IF(OR(ISTEXT(H54),R54=0),"",IF(R54&lt;0.1,1,IF(R54&lt;1,2,IF(R54&lt;10,3,IF(R54&lt;50,4,IF(R54&gt;=50,5,""))))))</f>
        <v>1</v>
      </c>
      <c r="T54" s="485" t="n">
        <f aca="false">IF(ISERROR(S54*J54),0,S54*J54)</f>
        <v>11</v>
      </c>
      <c r="U54" s="485" t="n">
        <f aca="false">IF(ISERROR(S54*J54*K54),0,S54*J54*K54)</f>
        <v>11</v>
      </c>
      <c r="V54" s="501" t="n">
        <f aca="false">IF(ISERROR(S54*K54),0,S54*K54)</f>
        <v>1</v>
      </c>
      <c r="W54" s="502"/>
      <c r="X54" s="503"/>
      <c r="Y54" s="488" t="str">
        <f aca="false">IF(AND(ISNUMBER(F54),OR(A54="",A54="!!!!!!")),"!!!!!!",IF(A54="new.cod","NEWCOD",IF(AND((Z54=""),ISTEXT(A54),A54&lt;&gt;"!!!!!!"),A54,IF(Z54="","",INDEX('liste reference'!$A$6:$A$1174,Z54)))))</f>
        <v>NASOFF</v>
      </c>
      <c r="Z54" s="470" t="n">
        <f aca="false">IF(ISERROR(MATCH(A54,'liste reference'!$A$6:$A$1174,0)),IF(ISERROR(MATCH(A54,'liste reference'!$B$6:$B$1174,0)),"",(MATCH(A54,'liste reference'!$B$6:$B$1174,0))),(MATCH(A54,'liste reference'!$A$6:$A$1174,0)))</f>
        <v>704</v>
      </c>
    </row>
    <row r="55" customFormat="false" ht="12.75" hidden="false" customHeight="false" outlineLevel="0" collapsed="false">
      <c r="A55" s="489" t="s">
        <v>2260</v>
      </c>
      <c r="B55" s="490"/>
      <c r="C55" s="491" t="n">
        <v>0.01</v>
      </c>
      <c r="D55" s="492" t="str">
        <f aca="false">IF(ISERROR(VLOOKUP($A55,'liste reference'!$A$6:$B$1174,2,0)),IF(ISERROR(VLOOKUP($A55,'liste reference'!$B$6:$B$1174,1,0)),"",VLOOKUP($A55,'liste reference'!$B$6:$B$1174,1,0)),VLOOKUP($A55,'liste reference'!$A$6:$B$1174,2,0))</f>
        <v>Veronica anagallis-aquatica</v>
      </c>
      <c r="E55" s="493" t="e">
        <f aca="false">IF(D55="",0,VLOOKUP(D55,D$22:D54,1,0))</f>
        <v>#N/A</v>
      </c>
      <c r="F55" s="494" t="n">
        <f aca="false">IF(AND(OR(A55="",A55="!!!!!!"),B55="",C55=""),"",IF(OR(AND(B55="",C55=""),ISERROR(C55+B55)),"!!!",($B55*$B$7+$C55*$C$7)/100))</f>
        <v>0.0059</v>
      </c>
      <c r="G55" s="495" t="str">
        <f aca="false">IF(A55="","",IF(ISERROR(VLOOKUP($A55,'liste reference'!$A$6:$Q$1174,9,0)),IF(ISERROR(VLOOKUP($A55,'liste reference'!$B$6:$Q$1174,8,0)),"    -",VLOOKUP($A55,'liste reference'!$B$6:$Q$1174,8,0)),VLOOKUP($A55,'liste reference'!$A$6:$Q$1174,9,0)))</f>
        <v>PHe</v>
      </c>
      <c r="H55" s="496" t="n">
        <f aca="false">IF(A55="","x",IF(ISERROR(VLOOKUP($A55,'liste reference'!$A$6:$Q$1174,10,0)),IF(ISERROR(VLOOKUP($A55,'liste reference'!$B$6:$Q$1174,9,0)),"x",VLOOKUP($A55,'liste reference'!$B$6:$Q$1174,9,0)),VLOOKUP($A55,'liste reference'!$A$6:$Q$1174,10,0)))</f>
        <v>8</v>
      </c>
      <c r="I55" s="281" t="n">
        <f aca="false">IF(A55="","",1)</f>
        <v>1</v>
      </c>
      <c r="J55" s="497" t="n">
        <f aca="false">IF(ISNUMBER($H55),IF(ISERROR(VLOOKUP($A55,'liste reference'!$A$6:$Q$1174,6,0)),IF(ISERROR(VLOOKUP($A55,'liste reference'!$B$6:$Q$1174,5,0)),"nu",VLOOKUP($A55,'liste reference'!$B$6:$Q$1174,5,0)),VLOOKUP($A55,'liste reference'!$A$6:$Q$1174,6,0)),"nu")</f>
        <v>11</v>
      </c>
      <c r="K55" s="497" t="n">
        <f aca="false">IF(ISNUMBER($H55),IF(ISERROR(VLOOKUP($A55,'liste reference'!$A$6:$Q$1174,7,0)),IF(ISERROR(VLOOKUP($A55,'liste reference'!$B$6:$Q$1174,6,0)),"nu",VLOOKUP($A55,'liste reference'!$B$6:$Q$1174,6,0)),VLOOKUP($A55,'liste reference'!$A$6:$Q$1174,7,0)),"nu")</f>
        <v>2</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Veronica anagallis-aquatica</v>
      </c>
      <c r="M55" s="498"/>
      <c r="N55" s="498"/>
      <c r="O55" s="498"/>
      <c r="P55" s="499" t="s">
        <v>3448</v>
      </c>
      <c r="Q55" s="500" t="n">
        <f aca="false">IF(OR($A55="NEWCOD",$A55="!!!!!!"),IF(X55="","NoCod",X55),IF($A55="","",IF(ISERROR(VLOOKUP($A55,'liste reference'!$A$6:$H$1174,8,0)),IF(ISERROR(VLOOKUP($A55,'liste reference'!$B$6:$H$1174,7,0)),"",VLOOKUP($A55,'liste reference'!$B$6:$H$1174,7,0)),VLOOKUP($A55,'liste reference'!$A$6:$H$1174,8,0))))</f>
        <v>1955</v>
      </c>
      <c r="R55" s="484" t="n">
        <f aca="false">IF(ISTEXT(H55),"",(B55*$B$7/100)+(C55*$C$7/100))</f>
        <v>0.0059</v>
      </c>
      <c r="S55" s="485" t="n">
        <f aca="false">IF(OR(ISTEXT(H55),R55=0),"",IF(R55&lt;0.1,1,IF(R55&lt;1,2,IF(R55&lt;10,3,IF(R55&lt;50,4,IF(R55&gt;=50,5,""))))))</f>
        <v>1</v>
      </c>
      <c r="T55" s="485" t="n">
        <f aca="false">IF(ISERROR(S55*J55),0,S55*J55)</f>
        <v>11</v>
      </c>
      <c r="U55" s="485" t="n">
        <f aca="false">IF(ISERROR(S55*J55*K55),0,S55*J55*K55)</f>
        <v>22</v>
      </c>
      <c r="V55" s="501" t="n">
        <f aca="false">IF(ISERROR(S55*K55),0,S55*K55)</f>
        <v>2</v>
      </c>
      <c r="W55" s="502"/>
      <c r="X55" s="503"/>
      <c r="Y55" s="488" t="str">
        <f aca="false">IF(AND(ISNUMBER(F55),OR(A55="",A55="!!!!!!")),"!!!!!!",IF(A55="new.cod","NEWCOD",IF(AND((Z55=""),ISTEXT(A55),A55&lt;&gt;"!!!!!!"),A55,IF(Z55="","",INDEX('liste reference'!$A$6:$A$1174,Z55)))))</f>
        <v>VERANA</v>
      </c>
      <c r="Z55" s="470" t="n">
        <f aca="false">IF(ISERROR(MATCH(A55,'liste reference'!$A$6:$A$1174,0)),IF(ISERROR(MATCH(A55,'liste reference'!$B$6:$B$1174,0)),"",(MATCH(A55,'liste reference'!$B$6:$B$1174,0))),(MATCH(A55,'liste reference'!$A$6:$A$1174,0)))</f>
        <v>740</v>
      </c>
    </row>
    <row r="56" customFormat="false" ht="12.75" hidden="false" customHeight="false" outlineLevel="0" collapsed="false">
      <c r="A56" s="489" t="s">
        <v>2620</v>
      </c>
      <c r="B56" s="490"/>
      <c r="C56" s="491" t="n">
        <v>0.01</v>
      </c>
      <c r="D56" s="492" t="str">
        <f aca="false">IF(ISERROR(VLOOKUP($A56,'liste reference'!$A$6:$B$1174,2,0)),IF(ISERROR(VLOOKUP($A56,'liste reference'!$B$6:$B$1174,1,0)),"",VLOOKUP($A56,'liste reference'!$B$6:$B$1174,1,0)),VLOOKUP($A56,'liste reference'!$A$6:$B$1174,2,0))</f>
        <v>Juncus inflexus</v>
      </c>
      <c r="E56" s="493" t="e">
        <f aca="false">IF(D56="",0,VLOOKUP(D56,D$22:D55,1,0))</f>
        <v>#N/A</v>
      </c>
      <c r="F56" s="494" t="n">
        <f aca="false">IF(AND(OR(A56="",A56="!!!!!!"),B56="",C56=""),"",IF(OR(AND(B56="",C56=""),ISERROR(C56+B56)),"!!!",($B56*$B$7+$C56*$C$7)/100))</f>
        <v>0.0059</v>
      </c>
      <c r="G56" s="495" t="str">
        <f aca="false">IF(A56="","",IF(ISERROR(VLOOKUP($A56,'liste reference'!$A$6:$Q$1174,9,0)),IF(ISERROR(VLOOKUP($A56,'liste reference'!$B$6:$Q$1174,8,0)),"    -",VLOOKUP($A56,'liste reference'!$B$6:$Q$1174,8,0)),VLOOKUP($A56,'liste reference'!$A$6:$Q$1174,9,0)))</f>
        <v>PHg</v>
      </c>
      <c r="H56" s="496" t="n">
        <f aca="false">IF(A56="","x",IF(ISERROR(VLOOKUP($A56,'liste reference'!$A$6:$Q$1174,10,0)),IF(ISERROR(VLOOKUP($A56,'liste reference'!$B$6:$Q$1174,9,0)),"x",VLOOKUP($A56,'liste reference'!$B$6:$Q$1174,9,0)),VLOOKUP($A56,'liste reference'!$A$6:$Q$1174,10,0)))</f>
        <v>9</v>
      </c>
      <c r="I56" s="281" t="n">
        <f aca="false">IF(A56="","",1)</f>
        <v>1</v>
      </c>
      <c r="J56" s="497" t="str">
        <f aca="false">IF(ISNUMBER($H56),IF(ISERROR(VLOOKUP($A56,'liste reference'!$A$6:$Q$1174,6,0)),IF(ISERROR(VLOOKUP($A56,'liste reference'!$B$6:$Q$1174,5,0)),"nu",VLOOKUP($A56,'liste reference'!$B$6:$Q$1174,5,0)),VLOOKUP($A56,'liste reference'!$A$6:$Q$1174,6,0)),"nu")</f>
        <v>nc</v>
      </c>
      <c r="K56" s="497" t="str">
        <f aca="false">IF(ISNUMBER($H56),IF(ISERROR(VLOOKUP($A56,'liste reference'!$A$6:$Q$1174,7,0)),IF(ISERROR(VLOOKUP($A56,'liste reference'!$B$6:$Q$1174,6,0)),"nu",VLOOKUP($A56,'liste reference'!$B$6:$Q$1174,6,0)),VLOOKUP($A56,'liste reference'!$A$6:$Q$1174,7,0)),"nu")</f>
        <v>nc</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Juncus inflexus</v>
      </c>
      <c r="M56" s="498"/>
      <c r="N56" s="498"/>
      <c r="O56" s="498"/>
      <c r="P56" s="499" t="s">
        <v>3448</v>
      </c>
      <c r="Q56" s="500" t="n">
        <f aca="false">IF(OR($A56="NEWCOD",$A56="!!!!!!"),IF(X56="","NoCod",X56),IF($A56="","",IF(ISERROR(VLOOKUP($A56,'liste reference'!$A$6:$H$1174,8,0)),IF(ISERROR(VLOOKUP($A56,'liste reference'!$B$6:$H$1174,7,0)),"",VLOOKUP($A56,'liste reference'!$B$6:$H$1174,7,0)),VLOOKUP($A56,'liste reference'!$A$6:$H$1174,8,0))))</f>
        <v>1616</v>
      </c>
      <c r="R56" s="484" t="n">
        <f aca="false">IF(ISTEXT(H56),"",(B56*$B$7/100)+(C56*$C$7/100))</f>
        <v>0.0059</v>
      </c>
      <c r="S56" s="485" t="n">
        <f aca="false">IF(OR(ISTEXT(H56),R56=0),"",IF(R56&lt;0.1,1,IF(R56&lt;1,2,IF(R56&lt;10,3,IF(R56&lt;50,4,IF(R56&gt;=50,5,""))))))</f>
        <v>1</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JUNINF</v>
      </c>
      <c r="Z56" s="470" t="n">
        <f aca="false">IF(ISERROR(MATCH(A56,'liste reference'!$A$6:$A$1174,0)),IF(ISERROR(MATCH(A56,'liste reference'!$B$6:$B$1174,0)),"",(MATCH(A56,'liste reference'!$B$6:$B$1174,0))),(MATCH(A56,'liste reference'!$A$6:$A$1174,0)))</f>
        <v>877</v>
      </c>
    </row>
    <row r="57" customFormat="false" ht="12.75" hidden="false" customHeight="false" outlineLevel="0" collapsed="false">
      <c r="A57" s="489" t="s">
        <v>2688</v>
      </c>
      <c r="B57" s="490"/>
      <c r="C57" s="491" t="n">
        <v>0.01</v>
      </c>
      <c r="D57" s="492" t="str">
        <f aca="false">IF(ISERROR(VLOOKUP($A57,'liste reference'!$A$6:$B$1174,2,0)),IF(ISERROR(VLOOKUP($A57,'liste reference'!$B$6:$B$1174,1,0)),"",VLOOKUP($A57,'liste reference'!$B$6:$B$1174,1,0)),VLOOKUP($A57,'liste reference'!$A$6:$B$1174,2,0))</f>
        <v>Lysimachia vulgaris</v>
      </c>
      <c r="E57" s="493" t="e">
        <f aca="false">IF(D57="",0,VLOOKUP(D57,D$22:D56,1,0))</f>
        <v>#N/A</v>
      </c>
      <c r="F57" s="494" t="n">
        <f aca="false">IF(AND(OR(A57="",A57="!!!!!!"),B57="",C57=""),"",IF(OR(AND(B57="",C57=""),ISERROR(C57+B57)),"!!!",($B57*$B$7+$C57*$C$7)/100))</f>
        <v>0.0059</v>
      </c>
      <c r="G57" s="495" t="str">
        <f aca="false">IF(A57="","",IF(ISERROR(VLOOKUP($A57,'liste reference'!$A$6:$Q$1174,9,0)),IF(ISERROR(VLOOKUP($A57,'liste reference'!$B$6:$Q$1174,8,0)),"    -",VLOOKUP($A57,'liste reference'!$B$6:$Q$1174,8,0)),VLOOKUP($A57,'liste reference'!$A$6:$Q$1174,9,0)))</f>
        <v>PHg</v>
      </c>
      <c r="H57" s="496" t="n">
        <f aca="false">IF(A57="","x",IF(ISERROR(VLOOKUP($A57,'liste reference'!$A$6:$Q$1174,10,0)),IF(ISERROR(VLOOKUP($A57,'liste reference'!$B$6:$Q$1174,9,0)),"x",VLOOKUP($A57,'liste reference'!$B$6:$Q$1174,9,0)),VLOOKUP($A57,'liste reference'!$A$6:$Q$1174,10,0)))</f>
        <v>9</v>
      </c>
      <c r="I57" s="281" t="n">
        <f aca="false">IF(A57="","",1)</f>
        <v>1</v>
      </c>
      <c r="J57" s="497" t="str">
        <f aca="false">IF(ISNUMBER($H57),IF(ISERROR(VLOOKUP($A57,'liste reference'!$A$6:$Q$1174,6,0)),IF(ISERROR(VLOOKUP($A57,'liste reference'!$B$6:$Q$1174,5,0)),"nu",VLOOKUP($A57,'liste reference'!$B$6:$Q$1174,5,0)),VLOOKUP($A57,'liste reference'!$A$6:$Q$1174,6,0)),"nu")</f>
        <v>nc</v>
      </c>
      <c r="K57" s="497" t="str">
        <f aca="false">IF(ISNUMBER($H57),IF(ISERROR(VLOOKUP($A57,'liste reference'!$A$6:$Q$1174,7,0)),IF(ISERROR(VLOOKUP($A57,'liste reference'!$B$6:$Q$1174,6,0)),"nu",VLOOKUP($A57,'liste reference'!$B$6:$Q$1174,6,0)),VLOOKUP($A57,'liste reference'!$A$6:$Q$1174,7,0)),"nu")</f>
        <v>nc</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Lysimachia vulgaris</v>
      </c>
      <c r="M57" s="498"/>
      <c r="N57" s="498"/>
      <c r="O57" s="498"/>
      <c r="P57" s="499" t="s">
        <v>3448</v>
      </c>
      <c r="Q57" s="500" t="n">
        <f aca="false">IF(OR($A57="NEWCOD",$A57="!!!!!!"),IF(X57="","NoCod",X57),IF($A57="","",IF(ISERROR(VLOOKUP($A57,'liste reference'!$A$6:$H$1174,8,0)),IF(ISERROR(VLOOKUP($A57,'liste reference'!$B$6:$H$1174,7,0)),"",VLOOKUP($A57,'liste reference'!$B$6:$H$1174,7,0)),VLOOKUP($A57,'liste reference'!$A$6:$H$1174,8,0))))</f>
        <v>1887</v>
      </c>
      <c r="R57" s="484" t="n">
        <f aca="false">IF(ISTEXT(H57),"",(B57*$B$7/100)+(C57*$C$7/100))</f>
        <v>0.0059</v>
      </c>
      <c r="S57" s="485" t="n">
        <f aca="false">IF(OR(ISTEXT(H57),R57=0),"",IF(R57&lt;0.1,1,IF(R57&lt;1,2,IF(R57&lt;10,3,IF(R57&lt;50,4,IF(R57&gt;=50,5,""))))))</f>
        <v>1</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LYSVUL</v>
      </c>
      <c r="Z57" s="470" t="n">
        <f aca="false">IF(ISERROR(MATCH(A57,'liste reference'!$A$6:$A$1174,0)),IF(ISERROR(MATCH(A57,'liste reference'!$B$6:$B$1174,0)),"",(MATCH(A57,'liste reference'!$B$6:$B$1174,0))),(MATCH(A57,'liste reference'!$A$6:$A$1174,0)))</f>
        <v>899</v>
      </c>
    </row>
    <row r="58" customFormat="false" ht="12.75" hidden="false" customHeight="false" outlineLevel="0" collapsed="false">
      <c r="A58" s="489" t="s">
        <v>2866</v>
      </c>
      <c r="B58" s="490" t="n">
        <v>0.01</v>
      </c>
      <c r="C58" s="491"/>
      <c r="D58" s="492" t="str">
        <f aca="false">IF(ISERROR(VLOOKUP($A58,'liste reference'!$A$6:$B$1174,2,0)),IF(ISERROR(VLOOKUP($A58,'liste reference'!$B$6:$B$1174,1,0)),"",VLOOKUP($A58,'liste reference'!$B$6:$B$1174,1,0)),VLOOKUP($A58,'liste reference'!$A$6:$B$1174,2,0))</f>
        <v>Scirpoides holoschoenus</v>
      </c>
      <c r="E58" s="493" t="e">
        <f aca="false">IF(D58="",0,VLOOKUP(D58,D$22:D57,1,0))</f>
        <v>#N/A</v>
      </c>
      <c r="F58" s="494" t="n">
        <f aca="false">IF(AND(OR(A58="",A58="!!!!!!"),B58="",C58=""),"",IF(OR(AND(B58="",C58=""),ISERROR(C58+B58)),"!!!",($B58*$B$7+$C58*$C$7)/100))</f>
        <v>0.0041</v>
      </c>
      <c r="G58" s="495" t="str">
        <f aca="false">IF(A58="","",IF(ISERROR(VLOOKUP($A58,'liste reference'!$A$6:$Q$1174,9,0)),IF(ISERROR(VLOOKUP($A58,'liste reference'!$B$6:$Q$1174,8,0)),"    -",VLOOKUP($A58,'liste reference'!$B$6:$Q$1174,8,0)),VLOOKUP($A58,'liste reference'!$A$6:$Q$1174,9,0)))</f>
        <v>PHg</v>
      </c>
      <c r="H58" s="496" t="n">
        <f aca="false">IF(A58="","x",IF(ISERROR(VLOOKUP($A58,'liste reference'!$A$6:$Q$1174,10,0)),IF(ISERROR(VLOOKUP($A58,'liste reference'!$B$6:$Q$1174,9,0)),"x",VLOOKUP($A58,'liste reference'!$B$6:$Q$1174,9,0)),VLOOKUP($A58,'liste reference'!$A$6:$Q$1174,10,0)))</f>
        <v>9</v>
      </c>
      <c r="I58" s="281" t="n">
        <f aca="false">IF(A58="","",1)</f>
        <v>1</v>
      </c>
      <c r="J58" s="497" t="str">
        <f aca="false">IF(ISNUMBER($H58),IF(ISERROR(VLOOKUP($A58,'liste reference'!$A$6:$Q$1174,6,0)),IF(ISERROR(VLOOKUP($A58,'liste reference'!$B$6:$Q$1174,5,0)),"nu",VLOOKUP($A58,'liste reference'!$B$6:$Q$1174,5,0)),VLOOKUP($A58,'liste reference'!$A$6:$Q$1174,6,0)),"nu")</f>
        <v>nc</v>
      </c>
      <c r="K58" s="497" t="str">
        <f aca="false">IF(ISNUMBER($H58),IF(ISERROR(VLOOKUP($A58,'liste reference'!$A$6:$Q$1174,7,0)),IF(ISERROR(VLOOKUP($A58,'liste reference'!$B$6:$Q$1174,6,0)),"nu",VLOOKUP($A58,'liste reference'!$B$6:$Q$1174,6,0)),VLOOKUP($A58,'liste reference'!$A$6:$Q$1174,7,0)),"nu")</f>
        <v>nc</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Scirpoides holoschoenus</v>
      </c>
      <c r="M58" s="498"/>
      <c r="N58" s="498"/>
      <c r="O58" s="498"/>
      <c r="P58" s="499" t="s">
        <v>3448</v>
      </c>
      <c r="Q58" s="500" t="n">
        <f aca="false">IF(OR($A58="NEWCOD",$A58="!!!!!!"),IF(X58="","NoCod",X58),IF($A58="","",IF(ISERROR(VLOOKUP($A58,'liste reference'!$A$6:$H$1174,8,0)),IF(ISERROR(VLOOKUP($A58,'liste reference'!$B$6:$H$1174,7,0)),"",VLOOKUP($A58,'liste reference'!$B$6:$H$1174,7,0)),VLOOKUP($A58,'liste reference'!$A$6:$H$1174,8,0))))</f>
        <v>19685</v>
      </c>
      <c r="R58" s="484" t="n">
        <f aca="false">IF(ISTEXT(H58),"",(B58*$B$7/100)+(C58*$C$7/100))</f>
        <v>0.0041</v>
      </c>
      <c r="S58" s="485" t="n">
        <f aca="false">IF(OR(ISTEXT(H58),R58=0),"",IF(R58&lt;0.1,1,IF(R58&lt;1,2,IF(R58&lt;10,3,IF(R58&lt;50,4,IF(R58&gt;=50,5,""))))))</f>
        <v>1</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SCPHOL</v>
      </c>
      <c r="Z58" s="470" t="n">
        <f aca="false">IF(ISERROR(MATCH(A58,'liste reference'!$A$6:$A$1174,0)),IF(ISERROR(MATCH(A58,'liste reference'!$B$6:$B$1174,0)),"",(MATCH(A58,'liste reference'!$B$6:$B$1174,0))),(MATCH(A58,'liste reference'!$A$6:$A$1174,0)))</f>
        <v>961</v>
      </c>
    </row>
    <row r="59" customFormat="false" ht="12.75" hidden="false" customHeight="false" outlineLevel="0" collapsed="false">
      <c r="A59" s="489" t="s">
        <v>2970</v>
      </c>
      <c r="B59" s="490" t="n">
        <v>0.01</v>
      </c>
      <c r="C59" s="491" t="n">
        <v>0.01</v>
      </c>
      <c r="D59" s="492" t="str">
        <f aca="false">IF(ISERROR(VLOOKUP($A59,'liste reference'!$A$6:$B$1174,2,0)),IF(ISERROR(VLOOKUP($A59,'liste reference'!$B$6:$B$1174,1,0)),"",VLOOKUP($A59,'liste reference'!$B$6:$B$1174,1,0)),VLOOKUP($A59,'liste reference'!$A$6:$B$1174,2,0))</f>
        <v>Agrostis sp.</v>
      </c>
      <c r="E59" s="493" t="e">
        <f aca="false">IF(D59="",0,VLOOKUP(D59,D$22:D58,1,0))</f>
        <v>#N/A</v>
      </c>
      <c r="F59" s="494" t="n">
        <f aca="false">IF(AND(OR(A59="",A59="!!!!!!"),B59="",C59=""),"",IF(OR(AND(B59="",C59=""),ISERROR(C59+B59)),"!!!",($B59*$B$7+$C59*$C$7)/100))</f>
        <v>0.01</v>
      </c>
      <c r="G59" s="495" t="str">
        <f aca="false">IF(A59="","",IF(ISERROR(VLOOKUP($A59,'liste reference'!$A$6:$Q$1174,9,0)),IF(ISERROR(VLOOKUP($A59,'liste reference'!$B$6:$Q$1174,8,0)),"    -",VLOOKUP($A59,'liste reference'!$B$6:$Q$1174,8,0)),VLOOKUP($A59,'liste reference'!$A$6:$Q$1174,9,0)))</f>
        <v>PHx</v>
      </c>
      <c r="H59" s="496" t="n">
        <f aca="false">IF(A59="","x",IF(ISERROR(VLOOKUP($A59,'liste reference'!$A$6:$Q$1174,10,0)),IF(ISERROR(VLOOKUP($A59,'liste reference'!$B$6:$Q$1174,9,0)),"x",VLOOKUP($A59,'liste reference'!$B$6:$Q$1174,9,0)),VLOOKUP($A59,'liste reference'!$A$6:$Q$1174,10,0)))</f>
        <v>10</v>
      </c>
      <c r="I59" s="281" t="n">
        <f aca="false">IF(A59="","",1)</f>
        <v>1</v>
      </c>
      <c r="J59" s="497" t="str">
        <f aca="false">IF(ISNUMBER($H59),IF(ISERROR(VLOOKUP($A59,'liste reference'!$A$6:$Q$1174,6,0)),IF(ISERROR(VLOOKUP($A59,'liste reference'!$B$6:$Q$1174,5,0)),"nu",VLOOKUP($A59,'liste reference'!$B$6:$Q$1174,5,0)),VLOOKUP($A59,'liste reference'!$A$6:$Q$1174,6,0)),"nu")</f>
        <v>nc</v>
      </c>
      <c r="K59" s="497" t="str">
        <f aca="false">IF(ISNUMBER($H59),IF(ISERROR(VLOOKUP($A59,'liste reference'!$A$6:$Q$1174,7,0)),IF(ISERROR(VLOOKUP($A59,'liste reference'!$B$6:$Q$1174,6,0)),"nu",VLOOKUP($A59,'liste reference'!$B$6:$Q$1174,6,0)),VLOOKUP($A59,'liste reference'!$A$6:$Q$1174,7,0)),"nu")</f>
        <v>nc</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Agrostis sp.</v>
      </c>
      <c r="M59" s="498"/>
      <c r="N59" s="498"/>
      <c r="O59" s="498"/>
      <c r="P59" s="499" t="s">
        <v>3448</v>
      </c>
      <c r="Q59" s="500" t="n">
        <f aca="false">IF(OR($A59="NEWCOD",$A59="!!!!!!"),IF(X59="","NoCod",X59),IF($A59="","",IF(ISERROR(VLOOKUP($A59,'liste reference'!$A$6:$H$1174,8,0)),IF(ISERROR(VLOOKUP($A59,'liste reference'!$B$6:$H$1174,7,0)),"",VLOOKUP($A59,'liste reference'!$B$6:$H$1174,7,0)),VLOOKUP($A59,'liste reference'!$A$6:$H$1174,8,0))))</f>
        <v>1542</v>
      </c>
      <c r="R59" s="484" t="n">
        <f aca="false">IF(ISTEXT(H59),"",(B59*$B$7/100)+(C59*$C$7/100))</f>
        <v>0.01</v>
      </c>
      <c r="S59" s="485" t="n">
        <f aca="false">IF(OR(ISTEXT(H59),R59=0),"",IF(R59&lt;0.1,1,IF(R59&lt;1,2,IF(R59&lt;10,3,IF(R59&lt;50,4,IF(R59&gt;=50,5,""))))))</f>
        <v>1</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AGRSPX</v>
      </c>
      <c r="Z59" s="470" t="n">
        <f aca="false">IF(ISERROR(MATCH(A59,'liste reference'!$A$6:$A$1174,0)),IF(ISERROR(MATCH(A59,'liste reference'!$B$6:$B$1174,0)),"",(MATCH(A59,'liste reference'!$B$6:$B$1174,0))),(MATCH(A59,'liste reference'!$A$6:$A$1174,0)))</f>
        <v>1002</v>
      </c>
    </row>
    <row r="60" customFormat="false" ht="12.75" hidden="false" customHeight="false" outlineLevel="0" collapsed="false">
      <c r="A60" s="489" t="s">
        <v>3252</v>
      </c>
      <c r="B60" s="490"/>
      <c r="C60" s="491" t="n">
        <v>0.01</v>
      </c>
      <c r="D60" s="492" t="str">
        <f aca="false">IF(ISERROR(VLOOKUP($A60,'liste reference'!$A$6:$B$1174,2,0)),IF(ISERROR(VLOOKUP($A60,'liste reference'!$B$6:$B$1174,1,0)),"",VLOOKUP($A60,'liste reference'!$B$6:$B$1174,1,0)),VLOOKUP($A60,'liste reference'!$A$6:$B$1174,2,0))</f>
        <v>Ranunculus repens</v>
      </c>
      <c r="E60" s="493" t="e">
        <f aca="false">IF(D60="",0,VLOOKUP(D60,D$22:D59,1,0))</f>
        <v>#N/A</v>
      </c>
      <c r="F60" s="494" t="n">
        <f aca="false">IF(AND(OR(A60="",A60="!!!!!!"),B60="",C60=""),"",IF(OR(AND(B60="",C60=""),ISERROR(C60+B60)),"!!!",($B60*$B$7+$C60*$C$7)/100))</f>
        <v>0.0059</v>
      </c>
      <c r="G60" s="495" t="str">
        <f aca="false">IF(A60="","",IF(ISERROR(VLOOKUP($A60,'liste reference'!$A$6:$Q$1174,9,0)),IF(ISERROR(VLOOKUP($A60,'liste reference'!$B$6:$Q$1174,8,0)),"    -",VLOOKUP($A60,'liste reference'!$B$6:$Q$1174,8,0)),VLOOKUP($A60,'liste reference'!$A$6:$Q$1174,9,0)))</f>
        <v>PHx</v>
      </c>
      <c r="H60" s="496" t="n">
        <f aca="false">IF(A60="","x",IF(ISERROR(VLOOKUP($A60,'liste reference'!$A$6:$Q$1174,10,0)),IF(ISERROR(VLOOKUP($A60,'liste reference'!$B$6:$Q$1174,9,0)),"x",VLOOKUP($A60,'liste reference'!$B$6:$Q$1174,9,0)),VLOOKUP($A60,'liste reference'!$A$6:$Q$1174,10,0)))</f>
        <v>10</v>
      </c>
      <c r="I60" s="281" t="n">
        <f aca="false">IF(A60="","",1)</f>
        <v>1</v>
      </c>
      <c r="J60" s="497" t="str">
        <f aca="false">IF(ISNUMBER($H60),IF(ISERROR(VLOOKUP($A60,'liste reference'!$A$6:$Q$1174,6,0)),IF(ISERROR(VLOOKUP($A60,'liste reference'!$B$6:$Q$1174,5,0)),"nu",VLOOKUP($A60,'liste reference'!$B$6:$Q$1174,5,0)),VLOOKUP($A60,'liste reference'!$A$6:$Q$1174,6,0)),"nu")</f>
        <v>nc</v>
      </c>
      <c r="K60" s="497" t="str">
        <f aca="false">IF(ISNUMBER($H60),IF(ISERROR(VLOOKUP($A60,'liste reference'!$A$6:$Q$1174,7,0)),IF(ISERROR(VLOOKUP($A60,'liste reference'!$B$6:$Q$1174,6,0)),"nu",VLOOKUP($A60,'liste reference'!$B$6:$Q$1174,6,0)),VLOOKUP($A60,'liste reference'!$A$6:$Q$1174,7,0)),"nu")</f>
        <v>nc</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Ranunculus repens</v>
      </c>
      <c r="M60" s="504"/>
      <c r="N60" s="504"/>
      <c r="O60" s="504"/>
      <c r="P60" s="499" t="s">
        <v>3448</v>
      </c>
      <c r="Q60" s="500" t="n">
        <f aca="false">IF(OR($A60="NEWCOD",$A60="!!!!!!"),IF(X60="","NoCod",X60),IF($A60="","",IF(ISERROR(VLOOKUP($A60,'liste reference'!$A$6:$H$1174,8,0)),IF(ISERROR(VLOOKUP($A60,'liste reference'!$B$6:$H$1174,7,0)),"",VLOOKUP($A60,'liste reference'!$B$6:$H$1174,7,0)),VLOOKUP($A60,'liste reference'!$A$6:$H$1174,8,0))))</f>
        <v>1910</v>
      </c>
      <c r="R60" s="484" t="n">
        <f aca="false">IF(ISTEXT(H60),"",(B60*$B$7/100)+(C60*$C$7/100))</f>
        <v>0.0059</v>
      </c>
      <c r="S60" s="485" t="n">
        <f aca="false">IF(OR(ISTEXT(H60),R60=0),"",IF(R60&lt;0.1,1,IF(R60&lt;1,2,IF(R60&lt;10,3,IF(R60&lt;50,4,IF(R60&gt;=50,5,""))))))</f>
        <v>1</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RANREP</v>
      </c>
      <c r="Z60" s="470" t="n">
        <f aca="false">IF(ISERROR(MATCH(A60,'liste reference'!$A$6:$A$1174,0)),IF(ISERROR(MATCH(A60,'liste reference'!$B$6:$B$1174,0)),"",(MATCH(A60,'liste reference'!$B$6:$B$1174,0))),(MATCH(A60,'liste reference'!$A$6:$A$1174,0)))</f>
        <v>1128</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71.3244</v>
      </c>
      <c r="G83" s="424"/>
      <c r="H83" s="424"/>
      <c r="I83" s="424"/>
      <c r="J83" s="424"/>
      <c r="K83" s="424"/>
      <c r="L83" s="424"/>
      <c r="M83" s="485"/>
      <c r="N83" s="485"/>
      <c r="O83" s="485"/>
      <c r="P83" s="485"/>
      <c r="Q83" s="485"/>
      <c r="R83" s="485"/>
      <c r="S83" s="485"/>
      <c r="T83" s="485"/>
      <c r="U83" s="485"/>
      <c r="V83" s="485" t="n">
        <f aca="false">SUM(V23:V82)</f>
        <v>102</v>
      </c>
      <c r="W83" s="485"/>
      <c r="X83" s="523"/>
      <c r="Y83" s="523"/>
      <c r="Z83" s="524"/>
    </row>
    <row r="84" customFormat="false" ht="12.75" hidden="true" customHeight="false" outlineLevel="0" collapsed="false">
      <c r="A84" s="518" t="str">
        <f aca="false">A3</f>
        <v>BUEGES</v>
      </c>
      <c r="B84" s="453" t="str">
        <f aca="false">C3</f>
        <v>BUEGES A PEGAIROLLES-DE-BUEGES</v>
      </c>
      <c r="C84" s="525" t="str">
        <f aca="false">A4</f>
        <v>(Date)</v>
      </c>
      <c r="D84" s="526" t="n">
        <f aca="false">IF(OR(ISERROR(SUM($U$23:$U$82)/SUM($V$23:$V$82)),F7&lt;&gt;100),-1,SUM($U$23:$U$82)/SUM($V$23:$V$82))</f>
        <v>11.3039215686275</v>
      </c>
      <c r="E84" s="527" t="n">
        <f aca="false">O13</f>
        <v>38</v>
      </c>
      <c r="F84" s="453" t="n">
        <f aca="false">O14</f>
        <v>30</v>
      </c>
      <c r="G84" s="453" t="n">
        <f aca="false">O15</f>
        <v>12</v>
      </c>
      <c r="H84" s="453" t="n">
        <f aca="false">O16</f>
        <v>16</v>
      </c>
      <c r="I84" s="453" t="n">
        <f aca="false">O17</f>
        <v>2</v>
      </c>
      <c r="J84" s="528" t="n">
        <f aca="false">O8</f>
        <v>10.9</v>
      </c>
      <c r="K84" s="529" t="n">
        <f aca="false">O9</f>
        <v>3.38969025133566</v>
      </c>
      <c r="L84" s="530" t="n">
        <f aca="false">O10</f>
        <v>4</v>
      </c>
      <c r="M84" s="530" t="n">
        <f aca="false">O11</f>
        <v>18</v>
      </c>
      <c r="N84" s="529" t="n">
        <f aca="false">P8</f>
        <v>1.66666666666667</v>
      </c>
      <c r="O84" s="529" t="n">
        <f aca="false">P9</f>
        <v>0.596284793999944</v>
      </c>
      <c r="P84" s="530" t="n">
        <f aca="false">P10</f>
        <v>1</v>
      </c>
      <c r="Q84" s="530" t="n">
        <f aca="false">P11</f>
        <v>3</v>
      </c>
      <c r="R84" s="530" t="n">
        <f aca="false">F21</f>
        <v>71.3244</v>
      </c>
      <c r="S84" s="530" t="n">
        <f aca="false">L11</f>
        <v>0</v>
      </c>
      <c r="T84" s="530" t="n">
        <f aca="false">L12</f>
        <v>16</v>
      </c>
      <c r="U84" s="530" t="n">
        <f aca="false">L13</f>
        <v>10</v>
      </c>
      <c r="V84" s="531" t="n">
        <f aca="false">L15</f>
        <v>12</v>
      </c>
      <c r="W84" s="532" t="n">
        <f aca="false">L15</f>
        <v>12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39</v>
      </c>
      <c r="U87" s="281"/>
      <c r="V87" s="281"/>
    </row>
    <row r="88" customFormat="false" ht="12.75" hidden="true" customHeight="false" outlineLevel="0" collapsed="false">
      <c r="C88" s="534"/>
      <c r="D88" s="534"/>
      <c r="E88" s="534"/>
      <c r="R88" s="281" t="s">
        <v>3451</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3452</v>
      </c>
      <c r="S89" s="281"/>
      <c r="T89" s="536" t="n">
        <f aca="false">MAX($V$23:$V$82)</f>
        <v>9</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11.1397849462366</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CINDAN</v>
      </c>
      <c r="U91" s="281" t="n">
        <f aca="false">IF(ISERROR(MATCH($T$93,'liste reference'!$A$6:$A$1174,0)),MATCH($T$93,'liste reference'!$B$6:$B$1174,0),(MATCH($T$93,'liste reference'!$A$6:$A$1174,0)))</f>
        <v>222</v>
      </c>
      <c r="V91" s="538"/>
    </row>
    <row r="92" customFormat="false" ht="12.75" hidden="true" customHeight="false" outlineLevel="0" collapsed="false">
      <c r="C92" s="534"/>
      <c r="D92" s="534"/>
      <c r="E92" s="534"/>
      <c r="R92" s="281" t="s">
        <v>3455</v>
      </c>
      <c r="S92" s="281"/>
      <c r="T92" s="281" t="n">
        <f aca="false">MATCH(T89,$V$23:$V$82,0)</f>
        <v>21</v>
      </c>
      <c r="U92" s="281"/>
    </row>
    <row r="93" customFormat="false" ht="12.75" hidden="true" customHeight="false" outlineLevel="0" collapsed="false">
      <c r="C93" s="534"/>
      <c r="D93" s="534"/>
      <c r="E93" s="534"/>
      <c r="R93" s="485" t="s">
        <v>3456</v>
      </c>
      <c r="S93" s="281"/>
      <c r="T93" s="485" t="str">
        <f aca="false">INDEX($A$23:$A$82,$T$92)</f>
        <v>CINDAN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2017-11-24T14:52:54Z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