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Lergue à Brignac" sheetId="7" state="visible" r:id="rId9"/>
    <sheet name="modele" sheetId="8" state="hidden" r:id="rId10"/>
    <sheet name="liste codes réf" sheetId="9" state="hidden" r:id="rId11"/>
  </sheets>
  <definedNames>
    <definedName function="false" hidden="false" localSheetId="6" name="_xlnm.Print_Area" vbProcedure="false">'Lergue à Brignac'!$A$1:$O$82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'Lergue à Brignac'!$A$23:$J$84</definedName>
    <definedName function="false" hidden="false" localSheetId="6" name="NOM" vbProcedure="false">'Lergue à Brignac'!$H$1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<sst xmlns="http://schemas.openxmlformats.org/spreadsheetml/2006/main" count="7512" uniqueCount="2755">
  <si>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</si>
  <si>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</si>
  <si>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</si>
  <si>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</si>
  <si>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</si>
  <si>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</si>
  <si>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</si>
  <si>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</si>
  <si>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</si>
  <si>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</si>
  <si>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</si>
  <si>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</si>
  <si>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</si>
  <si>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</si>
  <si>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</si>
  <si>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</si>
  <si>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</si>
  <si>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</si>
  <si>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</si>
  <si>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</si>
  <si>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</si>
  <si>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</si>
  <si>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</si>
  <si>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</si>
  <si>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</si>
  <si>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</si>
  <si>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</si>
  <si>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</si>
  <si>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</si>
  <si>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</si>
  <si>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</si>
  <si>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</si>
  <si>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</si>
  <si>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</si>
  <si>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</si>
  <si>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</si>
  <si>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</si>
  <si>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</si>
  <si>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</si>
  <si>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</si>
  <si>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</si>
  <si>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</si>
  <si>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</si>
  <si>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</si>
  <si>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</si>
  <si>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</si>
  <si>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</si>
  <si>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</si>
  <si>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</si>
  <si>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</si>
  <si>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</si>
  <si>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</si>
  <si>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</si>
  <si>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</si>
  <si>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</si>
  <si>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</si>
  <si>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</si>
  <si>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</si>
  <si>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</si>
  <si>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</si>
  <si>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</si>
  <si>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</si>
  <si>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</si>
  <si>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</si>
  <si>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</si>
  <si>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</si>
  <si>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</si>
  <si>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</si>
  <si>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</si>
  <si>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</si>
  <si>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</si>
  <si>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</si>
  <si>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</si>
  <si>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</si>
  <si>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</si>
  <si>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</si>
  <si>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</si>
  <si>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</si>
  <si>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</si>
  <si>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</si>
  <si>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</si>
  <si>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</si>
  <si>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</si>
  <si>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</si>
  <si>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</si>
  <si>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</si>
  <si>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</si>
  <si>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</si>
  <si>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</si>
  <si>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</si>
  <si>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</si>
  <si>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</si>
  <si>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</si>
  <si>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</si>
  <si>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</si>
  <si>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</si>
  <si>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</si>
  <si>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</si>
  <si>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</si>
  <si>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</si>
  <si>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</si>
  <si>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</si>
  <si>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</si>
  <si>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</si>
  <si>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</si>
  <si>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</si>
  <si>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</si>
  <si>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</si>
  <si>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</si>
  <si>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</si>
  <si>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</si>
  <si>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</si>
  <si>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</si>
  <si>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</si>
  <si>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</si>
  <si>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</si>
  <si>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</si>
  <si>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</si>
  <si>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</si>
  <si>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</si>
  <si>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</si>
  <si>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</si>
  <si>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</si>
  <si>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</si>
  <si>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</si>
  <si>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</si>
  <si>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</si>
  <si>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</si>
  <si>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</si>
  <si>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</si>
  <si>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</si>
  <si>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</si>
  <si>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</si>
  <si>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</si>
  <si>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</si>
  <si>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</si>
  <si>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</si>
  <si>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</si>
  <si>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</si>
  <si>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</si>
  <si>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</si>
  <si>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</si>
  <si>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</si>
  <si>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</si>
  <si>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</si>
  <si>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</si>
  <si>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</si>
  <si>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</si>
  <si>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</si>
  <si>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</si>
  <si>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</si>
  <si>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</si>
  <si>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</si>
  <si>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</si>
  <si>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</si>
  <si>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</si>
  <si>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</si>
  <si>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</si>
  <si>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</si>
  <si>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</si>
  <si>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</si>
  <si>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</si>
  <si>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</si>
  <si>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</si>
  <si>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</si>
  <si>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</si>
  <si>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</si>
  <si>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</si>
  <si>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</si>
  <si>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</si>
  <si>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</si>
  <si>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</si>
  <si>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</si>
  <si>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</si>
  <si>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</si>
  <si>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</si>
  <si>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</si>
  <si>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</si>
  <si>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</si>
  <si>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</si>
  <si>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</si>
  <si>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</si>
  <si>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</si>
  <si>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</si>
  <si>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</si>
  <si>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</si>
  <si>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</si>
  <si>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</si>
  <si>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</si>
  <si>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</si>
  <si>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</si>
  <si>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</si>
  <si>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</si>
  <si>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</si>
  <si>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</si>
  <si>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</si>
  <si>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</si>
  <si>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</si>
  <si>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</si>
  <si>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</si>
  <si>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</si>
  <si>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</si>
  <si>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</si>
  <si>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</si>
  <si>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</si>
  <si>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</si>
  <si>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</si>
  <si>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</si>
  <si>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</si>
  <si>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</si>
  <si>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</si>
  <si>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</si>
  <si>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</si>
  <si>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</si>
  <si>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</si>
  <si>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</si>
  <si>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</si>
  <si>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</si>
  <si>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</si>
  <si>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</si>
  <si>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</si>
  <si>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</si>
  <si>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</si>
  <si>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</si>
  <si>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</si>
  <si>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</si>
  <si>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</si>
  <si>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</si>
  <si>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</si>
  <si>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</si>
  <si>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</si>
  <si>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</si>
  <si>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</si>
  <si>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</si>
  <si>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</si>
  <si>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</si>
  <si>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</si>
  <si>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</si>
  <si>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</si>
  <si>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</si>
  <si>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</si>
  <si>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</si>
  <si>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</si>
  <si>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</si>
  <si>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</si>
  <si>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</si>
  <si>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</si>
  <si>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</si>
  <si>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</si>
  <si>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</si>
  <si>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</si>
  <si>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</si>
  <si>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</si>
  <si>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</si>
  <si>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</si>
  <si>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</si>
  <si>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</si>
  <si>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</si>
  <si>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</si>
  <si>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</si>
  <si>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</si>
  <si>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</si>
  <si>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</si>
  <si>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</si>
  <si>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</si>
  <si>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</si>
  <si>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</si>
  <si>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</si>
  <si>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</si>
  <si>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</si>
  <si>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</si>
  <si>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</si>
  <si>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</si>
  <si>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</si>
  <si>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</si>
  <si>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</si>
  <si>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</si>
  <si>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</si>
  <si>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</si>
  <si>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</si>
  <si>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</si>
  <si>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</si>
  <si>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</si>
  <si>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</si>
  <si>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</si>
  <si>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</si>
  <si>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</si>
  <si>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</si>
  <si>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</si>
  <si>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</si>
  <si>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</si>
  <si>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</si>
  <si>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</si>
  <si>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</si>
  <si>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</si>
  <si>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</si>
  <si>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</si>
  <si>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</si>
  <si>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</si>
  <si>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</si>
  <si>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</si>
  <si>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</si>
  <si>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</si>
  <si>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</si>
  <si>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</si>
  <si>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</si>
  <si>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</si>
  <si>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</si>
  <si>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</si>
  <si>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</si>
  <si>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</si>
  <si>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</si>
  <si>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</si>
  <si>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</si>
  <si>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</si>
  <si>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</si>
  <si>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</si>
  <si>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</si>
  <si>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</si>
  <si>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</si>
  <si>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</si>
  <si>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</si>
  <si>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</si>
  <si>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</si>
  <si>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</si>
  <si>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</si>
  <si>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</si>
  <si>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</si>
  <si>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</si>
  <si>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</si>
  <si>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</si>
  <si>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</si>
  <si>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</si>
  <si>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</si>
  <si>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</si>
  <si>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</si>
  <si>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</si>
  <si>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</si>
  <si>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</si>
  <si>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</si>
  <si>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</si>
  <si>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</si>
  <si>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</si>
  <si>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</si>
  <si>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</si>
  <si>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</si>
  <si>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</si>
  <si>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</si>
  <si>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</si>
  <si>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</si>
  <si>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</si>
  <si>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</si>
  <si>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</si>
  <si>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</si>
  <si>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</si>
  <si>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</si>
  <si>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</si>
  <si>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</si>
  <si>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</si>
  <si>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</si>
  <si>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</si>
  <si>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</si>
  <si>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</si>
  <si>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</si>
  <si>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</si>
  <si>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</si>
  <si>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</si>
  <si>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</si>
  <si>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</si>
  <si>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</si>
  <si>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</si>
  <si>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</si>
  <si>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</si>
  <si>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</si>
  <si>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</si>
  <si>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</si>
  <si>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</si>
  <si>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</si>
  <si>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</si>
  <si>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</si>
  <si>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</si>
  <si>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</si>
  <si>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</si>
  <si>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</si>
  <si>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</si>
  <si>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</si>
  <si>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</si>
  <si>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</si>
  <si>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</si>
  <si>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</si>
  <si>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</si>
  <si>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</si>
  <si>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</si>
  <si>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</si>
  <si>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</si>
  <si>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</si>
  <si>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</si>
  <si>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</si>
  <si>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</si>
  <si>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</si>
  <si>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</si>
  <si>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</si>
  <si>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</si>
  <si>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</si>
  <si>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</si>
  <si>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</si>
  <si>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</si>
  <si>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</si>
  <si>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</si>
  <si>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</si>
  <si>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</si>
  <si>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</si>
  <si>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</si>
  <si>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</si>
  <si>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</si>
  <si>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</si>
  <si>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</si>
  <si>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</si>
  <si>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</si>
  <si>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</si>
  <si>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</si>
  <si>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</si>
  <si>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</si>
  <si>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</si>
  <si>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</si>
  <si>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</si>
  <si>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</si>
  <si>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</si>
  <si>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</si>
  <si>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</si>
  <si>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</si>
  <si>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</si>
  <si>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</si>
  <si>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</si>
  <si>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</si>
  <si>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</si>
  <si>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</si>
  <si>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</si>
  <si>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</si>
  <si>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</si>
  <si>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</si>
  <si>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</si>
  <si>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</si>
  <si>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</si>
  <si>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</si>
  <si>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</si>
  <si>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</si>
  <si>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</si>
  <si>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</si>
  <si>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</si>
  <si>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</si>
  <si>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</si>
  <si>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</si>
  <si>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</si>
  <si>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</si>
  <si>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</si>
  <si>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</si>
  <si>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</si>
  <si>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</si>
  <si>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</si>
  <si>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</si>
  <si>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</si>
  <si>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</si>
  <si>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</si>
  <si>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</si>
  <si>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</si>
  <si>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</si>
  <si>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</si>
  <si>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</si>
  <si>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</si>
  <si>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</si>
  <si>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</si>
  <si>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</si>
  <si>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</si>
  <si>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</si>
  <si>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</si>
  <si>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</si>
  <si>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</si>
  <si>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</si>
  <si>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</si>
  <si>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</si>
  <si>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</si>
  <si>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</si>
  <si>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</si>
  <si>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</si>
  <si>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</si>
  <si>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</si>
  <si>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</si>
  <si>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</si>
  <si>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</si>
  <si>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</si>
  <si>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</si>
  <si>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</si>
  <si>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</si>
  <si>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</si>
  <si>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</si>
  <si>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</si>
  <si>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</si>
  <si>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</si>
  <si>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</si>
  <si>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</si>
  <si>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</si>
  <si>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</si>
  <si>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</si>
  <si>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</si>
  <si>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</si>
  <si>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</si>
  <si>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</si>
  <si>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</si>
  <si>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</si>
  <si>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</si>
  <si>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</si>
  <si>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</si>
  <si>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</si>
  <si>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</si>
  <si>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</si>
  <si>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</si>
  <si>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</si>
  <si>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</si>
  <si>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</si>
  <si>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</si>
  <si>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</si>
  <si>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</si>
  <si>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</si>
  <si>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</si>
  <si>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</si>
  <si>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</si>
  <si>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</si>
  <si>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</si>
  <si>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</si>
  <si>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</si>
  <si>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</si>
  <si>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</si>
  <si>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</si>
  <si>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</si>
  <si>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</si>
  <si>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</si>
  <si>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</si>
  <si>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</si>
  <si>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</si>
  <si>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</si>
  <si>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</si>
  <si>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</si>
  <si>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</si>
  <si>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</si>
  <si>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</si>
  <si>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</si>
  <si>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</si>
  <si>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</si>
  <si>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</si>
  <si>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</si>
  <si>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</si>
  <si>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</si>
  <si>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</si>
  <si>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</si>
  <si>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</si>
  <si>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</si>
  <si>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</si>
  <si>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</si>
  <si>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</si>
  <si>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</si>
  <si>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</si>
  <si>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</si>
  <si>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</si>
  <si>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</si>
  <si>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</si>
  <si>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</si>
  <si>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</si>
  <si>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</si>
  <si>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</si>
  <si>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</si>
  <si>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</si>
  <si>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</si>
  <si>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</si>
  <si>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</si>
  <si>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</si>
  <si>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</si>
  <si>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</si>
  <si>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</si>
  <si>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</si>
  <si>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</si>
  <si>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</si>
  <si>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</si>
  <si>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</si>
  <si>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</si>
  <si>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</si>
  <si>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</si>
  <si>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</si>
  <si>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</si>
  <si>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</si>
  <si>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</si>
  <si>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</si>
  <si>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</si>
  <si>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</si>
  <si>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</si>
  <si>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</si>
  <si>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</si>
  <si>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</si>
  <si>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</si>
  <si>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</si>
  <si>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</si>
  <si>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</si>
  <si>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</si>
  <si>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</si>
  <si>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</si>
  <si>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</si>
  <si>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</si>
  <si>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</si>
  <si>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</si>
  <si>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</si>
  <si>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</si>
  <si>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</si>
  <si>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</si>
  <si>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</si>
  <si>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</si>
  <si>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</si>
  <si>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</si>
  <si>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</si>
  <si>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</si>
  <si>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</si>
  <si>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</si>
  <si>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</si>
  <si>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</si>
  <si>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</si>
  <si>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</si>
  <si>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</si>
  <si>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</si>
  <si>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</si>
  <si>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</si>
  <si>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</si>
  <si>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</si>
  <si>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</si>
  <si>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</si>
  <si>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</si>
  <si>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</si>
  <si>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</si>
  <si>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</si>
  <si>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</si>
  <si>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</si>
  <si>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</si>
  <si>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</si>
  <si>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</si>
  <si>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</si>
  <si>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</si>
  <si>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</si>
  <si>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</si>
  <si>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</si>
  <si>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</si>
  <si>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</si>
  <si>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</si>
  <si>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</si>
  <si>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</si>
  <si>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</si>
  <si>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</si>
  <si>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</si>
  <si>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</si>
  <si>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</si>
  <si>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</si>
  <si>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</si>
  <si>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</si>
  <si>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</si>
  <si>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</si>
  <si>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</si>
  <si>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</si>
  <si>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</si>
  <si>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</si>
  <si>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</si>
  <si>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</si>
  <si>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</si>
  <si>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</si>
  <si>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</si>
  <si>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</si>
  <si>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</si>
  <si>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</si>
  <si>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</si>
  <si>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</si>
  <si>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</si>
  <si>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</si>
  <si>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</si>
  <si>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</si>
  <si>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</si>
  <si>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</si>
  <si>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</si>
  <si>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</si>
  <si>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</si>
  <si>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</si>
  <si>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</si>
  <si>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</si>
  <si>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</si>
  <si>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</si>
  <si>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</si>
  <si>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</si>
  <si>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</si>
  <si>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</si>
  <si>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</si>
  <si>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</si>
  <si>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</si>
  <si>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</si>
  <si>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</si>
  <si>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</si>
  <si>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</si>
  <si>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</si>
  <si>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</si>
  <si>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</si>
  <si>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</si>
  <si>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</si>
  <si>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</si>
  <si>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</si>
  <si>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</si>
  <si>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</si>
  <si>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</si>
  <si>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</si>
  <si>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</si>
  <si>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</si>
  <si>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</si>
  <si>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</si>
  <si>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</si>
  <si>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</si>
  <si>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</si>
  <si>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</si>
  <si>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</si>
  <si>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</si>
  <si>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</si>
  <si>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</si>
  <si>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</si>
  <si>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</si>
  <si>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</si>
  <si>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</si>
  <si>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</si>
  <si>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</si>
  <si>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</si>
  <si>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</si>
  <si>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</si>
  <si>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</si>
  <si>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</si>
  <si>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</si>
  <si>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</si>
  <si>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</si>
  <si>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</si>
  <si>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</si>
  <si>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</si>
  <si>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</si>
  <si>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</si>
  <si>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</si>
  <si>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</si>
  <si>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</si>
  <si>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</si>
  <si>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</si>
  <si>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</si>
  <si>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</si>
  <si>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</si>
  <si>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</si>
  <si>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</si>
  <si>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</si>
  <si>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</si>
  <si>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</si>
  <si>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</si>
  <si>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</si>
  <si>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</si>
  <si>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</si>
  <si>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</si>
  <si>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</si>
  <si>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</si>
  <si>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</si>
  <si>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</si>
  <si>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</si>
  <si>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</si>
  <si>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</si>
  <si>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</si>
  <si>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</si>
  <si>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</si>
  <si>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</si>
  <si>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</si>
  <si>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</si>
  <si>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</si>
  <si>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</si>
  <si>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</si>
  <si>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</si>
  <si>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</si>
  <si>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</si>
  <si>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</si>
  <si>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</si>
  <si>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</si>
  <si>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</si>
  <si>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</si>
  <si>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</si>
  <si>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</si>
  <si>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</si>
  <si>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</si>
  <si>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</si>
  <si>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</si>
  <si>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</si>
  <si>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</si>
  <si>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</si>
  <si>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</si>
  <si>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</si>
  <si>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</si>
  <si>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</si>
  <si>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</si>
  <si>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</si>
  <si>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</si>
  <si>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</si>
  <si>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</si>
  <si>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</si>
  <si>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</si>
  <si>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</si>
  <si>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</si>
  <si>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</si>
  <si>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</si>
  <si>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</si>
  <si>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</si>
  <si>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</si>
  <si>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</si>
  <si>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</si>
  <si>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</si>
  <si>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</si>
  <si>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</si>
  <si>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</si>
  <si>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</si>
  <si>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</si>
  <si>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</si>
  <si>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</si>
  <si>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</si>
  <si>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</si>
  <si>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</si>
  <si>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</si>
  <si>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</si>
  <si>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</si>
  <si>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</si>
  <si>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</si>
  <si>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</si>
  <si>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</si>
  <si>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</si>
  <si>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</si>
  <si>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</si>
  <si>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</si>
  <si>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</si>
  <si>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</si>
  <si>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</si>
  <si>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</si>
  <si>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</si>
  <si>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</si>
  <si>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</si>
  <si>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</si>
  <si>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</si>
  <si>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</si>
  <si>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</si>
  <si>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</si>
  <si>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</si>
  <si>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</si>
  <si>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</si>
  <si>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</si>
  <si>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</si>
  <si>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</si>
  <si>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</si>
  <si>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</si>
  <si>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</si>
  <si>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</si>
  <si>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</si>
  <si>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</si>
  <si>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</si>
  <si>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</si>
  <si>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</si>
  <si>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</si>
  <si>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</si>
  <si>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</si>
  <si>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</si>
  <si>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</si>
  <si>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</si>
  <si>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</si>
  <si>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</si>
  <si>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</si>
  <si>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</si>
  <si>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</si>
  <si>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</si>
  <si>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</si>
  <si>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</si>
  <si>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</si>
  <si>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</si>
  <si>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</si>
  <si>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</si>
  <si>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</si>
  <si>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</si>
  <si>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</si>
  <si>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</si>
  <si>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</si>
  <si>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</si>
  <si>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</si>
  <si>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</si>
  <si>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</si>
  <si>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</si>
  <si>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</si>
  <si>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</si>
  <si>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</si>
  <si>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</si>
  <si>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</si>
  <si>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</si>
  <si>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</si>
  <si>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</si>
  <si>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</si>
  <si>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</si>
  <si>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</si>
  <si>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</si>
  <si>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</si>
  <si>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</si>
  <si>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</si>
  <si>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</si>
  <si>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</si>
  <si>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</si>
  <si>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</si>
  <si>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</si>
  <si>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</si>
  <si>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</si>
  <si>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</si>
  <si>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</si>
  <si>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</si>
  <si>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</si>
  <si>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</si>
  <si>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</si>
  <si>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</si>
  <si>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</si>
  <si>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</si>
  <si>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</si>
  <si>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</si>
  <si>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</si>
  <si>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</si>
  <si>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</si>
  <si>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</si>
  <si>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</si>
  <si>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</si>
  <si>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</si>
  <si>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</si>
  <si>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</si>
  <si>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</si>
  <si>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</si>
  <si>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</si>
  <si>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</si>
  <si>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</si>
  <si>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</si>
  <si>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</si>
  <si>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</si>
  <si>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</si>
  <si>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</si>
  <si>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</si>
  <si>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</si>
  <si>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</si>
  <si>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</si>
  <si>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</si>
  <si>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</si>
  <si>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</si>
  <si>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</si>
  <si>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</si>
  <si>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</si>
  <si>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</si>
  <si>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</si>
  <si>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</si>
  <si>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</si>
  <si>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</si>
  <si>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</si>
  <si>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</si>
  <si>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</si>
  <si>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</si>
  <si>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</si>
  <si>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</si>
  <si>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</si>
  <si>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</si>
  <si>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</si>
  <si>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</si>
  <si>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</si>
  <si>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</si>
  <si>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</si>
  <si>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</si>
  <si>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</si>
  <si>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</si>
  <si>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</si>
  <si>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</si>
  <si>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</si>
  <si>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</si>
  <si>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</si>
  <si>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</si>
  <si>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</si>
  <si>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</si>
  <si>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</si>
  <si>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</si>
  <si>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</si>
  <si>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</si>
  <si>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</si>
  <si>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</si>
  <si>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</si>
  <si>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</si>
  <si>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</si>
  <si>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</si>
  <si>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</si>
  <si>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</si>
  <si>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</si>
  <si>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</si>
  <si>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</si>
  <si>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</si>
  <si>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</si>
  <si>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</si>
  <si>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</si>
  <si>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</si>
  <si>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</si>
  <si>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</si>
  <si>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</si>
  <si>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</si>
  <si>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</si>
  <si>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</si>
  <si>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</si>
  <si>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</si>
  <si>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</si>
  <si>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</si>
  <si>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</si>
  <si>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</si>
  <si>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</si>
  <si>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</si>
  <si>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</si>
  <si>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</si>
  <si>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</si>
  <si>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</si>
  <si>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</si>
  <si>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</si>
  <si>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</si>
  <si>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</si>
  <si>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</si>
  <si>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</si>
  <si>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</si>
  <si>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</si>
  <si>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</si>
  <si>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</si>
  <si>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</si>
  <si>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</si>
  <si>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</si>
  <si>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</si>
  <si>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</si>
  <si>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</si>
  <si>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</si>
  <si>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</si>
  <si>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</si>
  <si>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</si>
  <si>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</si>
  <si>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</si>
  <si>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</si>
  <si>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</si>
  <si>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</si>
  <si>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</si>
  <si>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</si>
  <si>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</si>
  <si>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</si>
  <si>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</si>
  <si>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</si>
  <si>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</si>
  <si>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</si>
  <si>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</si>
  <si>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</si>
  <si>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</si>
  <si>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</si>
  <si>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</si>
  <si>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</si>
  <si>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</si>
  <si>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</si>
  <si>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</si>
  <si>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</si>
  <si>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</si>
  <si>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</si>
  <si>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</si>
  <si>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</si>
  <si>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</si>
  <si>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</si>
  <si>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</si>
  <si>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</si>
  <si>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</si>
  <si>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</si>
  <si>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</si>
  <si>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</si>
  <si>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</si>
  <si>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</si>
  <si>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</si>
  <si>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</si>
  <si>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</si>
  <si>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</si>
  <si>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</si>
  <si>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</si>
  <si>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</si>
  <si>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</si>
  <si>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</si>
  <si>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</si>
  <si>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</si>
  <si>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</si>
  <si>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</si>
  <si>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</si>
  <si>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</si>
  <si>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</si>
  <si>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</si>
  <si>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</si>
  <si>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</si>
  <si>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</si>
  <si>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</si>
  <si>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</si>
  <si>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</si>
  <si>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</si>
  <si>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</si>
  <si>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</si>
  <si>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</si>
  <si>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</si>
  <si>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</si>
  <si>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</si>
  <si>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</si>
  <si>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</si>
  <si>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</si>
  <si>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</si>
  <si>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</si>
  <si>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</si>
  <si>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</si>
  <si>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</si>
  <si>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</si>
  <si>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</si>
  <si>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</si>
  <si>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</si>
  <si>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</si>
  <si>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</si>
  <si>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</si>
  <si>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</si>
  <si>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</si>
  <si>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</si>
  <si>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</si>
  <si>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</si>
  <si>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</si>
  <si>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</si>
  <si>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</si>
  <si>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</si>
  <si>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</si>
  <si>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</si>
  <si>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</si>
  <si>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</si>
  <si>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</si>
  <si>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</si>
  <si>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</si>
  <si>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</si>
  <si>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</si>
  <si>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</si>
  <si>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</si>
  <si>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</si>
  <si>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</si>
  <si>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</si>
  <si>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</si>
  <si>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</si>
  <si>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</si>
  <si>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</si>
  <si>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</si>
  <si>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</si>
  <si>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</si>
  <si>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</si>
  <si>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</si>
  <si>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</si>
  <si>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</si>
  <si>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</si>
  <si>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</si>
  <si>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</si>
  <si>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</si>
  <si>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</si>
  <si>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</si>
  <si>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</si>
  <si>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</si>
  <si>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</si>
  <si>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</si>
  <si>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</si>
  <si>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</si>
  <si>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</si>
  <si>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</si>
  <si>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</si>
  <si>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</si>
  <si>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</si>
  <si>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</si>
  <si>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</si>
  <si>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</si>
  <si>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</si>
  <si>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</si>
  <si>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</si>
  <si>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</si>
  <si>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</si>
  <si>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</si>
  <si>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</si>
  <si>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</si>
  <si>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</si>
  <si>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</si>
  <si>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</si>
  <si>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</si>
  <si>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</si>
  <si>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</si>
  <si>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</si>
  <si>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</si>
  <si>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</si>
  <si>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</si>
  <si>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</si>
  <si>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</si>
  <si>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</si>
  <si>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</si>
  <si>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</si>
  <si>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</si>
  <si>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</si>
  <si>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</si>
  <si>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</si>
  <si>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</si>
  <si>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</si>
  <si>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</si>
  <si>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</si>
  <si>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</si>
  <si>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</si>
  <si>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</si>
  <si>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</si>
  <si>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</si>
  <si>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</si>
  <si>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</si>
  <si>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</si>
  <si>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</si>
  <si>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</si>
  <si>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</si>
  <si>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</si>
  <si>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</si>
  <si>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</si>
  <si>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</si>
  <si>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</si>
  <si>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</si>
  <si>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</si>
  <si>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</si>
  <si>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</si>
  <si>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</si>
  <si>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</si>
  <si>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</si>
  <si>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</si>
  <si>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</si>
  <si>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</si>
  <si>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</si>
  <si>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</si>
  <si>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</si>
  <si>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</si>
  <si>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</si>
  <si>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</si>
  <si>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</si>
  <si>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</si>
  <si>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</si>
  <si>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</si>
  <si>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</si>
  <si>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</si>
  <si>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</si>
  <si>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</si>
  <si>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</si>
  <si>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</si>
  <si>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</si>
  <si>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</si>
  <si>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</si>
  <si>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</si>
  <si>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</si>
  <si>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</si>
  <si>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</si>
  <si>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</si>
  <si>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</si>
  <si>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</si>
  <si>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</si>
  <si>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</si>
  <si>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</si>
  <si>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</si>
  <si>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</si>
  <si>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</si>
  <si>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</si>
  <si>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</si>
  <si>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</si>
  <si>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</si>
  <si>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</si>
  <si>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</si>
  <si>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</si>
  <si>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</si>
  <si>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</si>
  <si>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</si>
  <si>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</si>
  <si>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</si>
  <si>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</si>
  <si>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</si>
  <si>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</si>
  <si>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</si>
  <si>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</si>
  <si>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</si>
  <si>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</si>
  <si>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</si>
  <si>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</si>
  <si>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</si>
  <si>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</si>
  <si>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</si>
  <si>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</si>
  <si>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</si>
  <si>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</si>
  <si>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</si>
  <si>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</si>
  <si>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</si>
  <si>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</si>
  <si>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</si>
  <si>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</si>
  <si>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</si>
  <si>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</si>
  <si>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</si>
  <si>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</si>
  <si>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</si>
  <si>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</si>
  <si>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</si>
  <si>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</si>
  <si>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</si>
  <si>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</si>
  <si>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</si>
  <si>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</si>
  <si>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</si>
  <si>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</si>
  <si>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</si>
  <si>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</si>
  <si>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</si>
  <si>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</si>
  <si>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</si>
  <si>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</si>
  <si>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</si>
  <si>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</si>
  <si>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</si>
  <si>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</si>
  <si>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</si>
  <si>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</si>
  <si>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</si>
  <si>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</si>
  <si>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</si>
  <si>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</si>
  <si>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</si>
  <si>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</si>
  <si>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</si>
  <si>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</si>
  <si>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</si>
  <si>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</si>
  <si>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</si>
  <si>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</si>
  <si>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</si>
  <si>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</si>
  <si>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</si>
  <si>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</si>
  <si>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</si>
  <si>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</si>
  <si>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</si>
  <si>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</si>
  <si>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</si>
  <si>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</si>
  <si>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</si>
  <si>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</si>
  <si>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</si>
  <si>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</si>
  <si>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</si>
  <si>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</si>
  <si>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</si>
  <si>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</si>
  <si>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</si>
  <si>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</si>
  <si>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</si>
  <si>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</si>
  <si>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</si>
  <si>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</si>
  <si>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</si>
  <si>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</si>
  <si>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</si>
  <si>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</si>
  <si>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</si>
  <si>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</si>
  <si>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</si>
  <si>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</si>
  <si>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</si>
  <si>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</si>
  <si>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</si>
  <si>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</si>
  <si>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</si>
  <si>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</si>
  <si>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</si>
  <si>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</si>
  <si>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</si>
  <si>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</si>
  <si>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</si>
  <si>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</si>
  <si>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</si>
  <si>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</si>
  <si>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</si>
  <si>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</si>
  <si>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</si>
  <si>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</si>
  <si>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</si>
  <si>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</si>
  <si>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</si>
  <si>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</si>
  <si>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</si>
  <si>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</si>
  <si>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</si>
  <si>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</si>
  <si>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</si>
  <si>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</si>
  <si>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</si>
  <si>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</si>
  <si>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</si>
  <si>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</si>
  <si>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</si>
  <si>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</si>
  <si>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</si>
  <si>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</si>
  <si>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</si>
  <si>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</si>
  <si>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</si>
  <si>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</si>
  <si>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</si>
  <si>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</si>
  <si>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</si>
  <si>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</si>
  <si>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</si>
  <si>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</si>
  <si>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</si>
  <si>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</si>
  <si>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</si>
  <si>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</si>
  <si>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</si>
  <si>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</si>
  <si>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</si>
  <si>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</si>
  <si>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</si>
  <si>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</si>
  <si>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</si>
  <si>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</si>
  <si>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</si>
  <si>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</si>
  <si>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</si>
  <si>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</si>
  <si>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</si>
  <si>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</si>
  <si>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</si>
  <si>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</si>
  <si>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</si>
  <si>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</si>
  <si>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</si>
  <si>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</si>
  <si>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</si>
  <si>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</si>
  <si>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</si>
  <si>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</si>
  <si>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</si>
  <si>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</si>
  <si>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</si>
  <si>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</si>
  <si>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</si>
  <si>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</si>
  <si>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</si>
  <si>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</si>
  <si>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</si>
  <si>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</si>
  <si>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</si>
  <si>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</si>
  <si>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</si>
  <si>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</si>
  <si>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</si>
  <si>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</si>
  <si>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</si>
  <si>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</si>
  <si>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</si>
  <si>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</si>
  <si>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</si>
  <si>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</si>
  <si>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</si>
  <si>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</si>
  <si>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</si>
  <si>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</si>
  <si>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</si>
  <si>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</si>
  <si>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</si>
  <si>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</si>
  <si>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</si>
  <si>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</si>
  <si>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</si>
  <si>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</si>
  <si>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</si>
  <si>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</si>
  <si>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</si>
  <si>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</si>
  <si>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</si>
  <si>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</si>
  <si>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</si>
  <si>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</si>
  <si>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</si>
  <si>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</si>
  <si>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</si>
  <si>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</si>
  <si>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</si>
  <si>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</si>
  <si>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</si>
  <si>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</si>
  <si>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</si>
  <si>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</si>
  <si>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</si>
  <si>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</si>
  <si>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</si>
  <si>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</si>
  <si>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</si>
  <si>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</si>
  <si>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</si>
  <si>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</si>
  <si>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</si>
  <si>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</si>
  <si>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</si>
  <si>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</si>
  <si>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</si>
  <si>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</si>
  <si>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</si>
  <si>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</si>
  <si>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</si>
  <si>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</si>
  <si>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</si>
  <si>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</si>
  <si>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</si>
  <si>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</si>
  <si>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</si>
  <si>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</si>
  <si>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</si>
  <si>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</si>
  <si>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</si>
  <si>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</si>
  <si>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</si>
  <si>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</si>
  <si>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</si>
  <si>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</si>
  <si>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</si>
  <si>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</si>
  <si>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</si>
  <si>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</si>
  <si>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</si>
  <si>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</si>
  <si>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</si>
  <si>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</si>
  <si>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</si>
  <si>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</si>
  <si>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</si>
  <si>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</si>
  <si>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</si>
  <si>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</si>
  <si>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</si>
  <si>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</si>
  <si>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</si>
  <si>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</si>
  <si>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</si>
  <si>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</si>
  <si>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</si>
  <si>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</si>
  <si>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</si>
  <si>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</si>
  <si>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</si>
  <si>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</si>
  <si>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</si>
  <si>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</si>
  <si>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</si>
  <si>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</si>
  <si>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</si>
  <si>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</si>
  <si>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</si>
  <si>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</si>
  <si>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</si>
  <si>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</si>
  <si>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</si>
  <si>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</si>
  <si>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</si>
  <si>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</si>
  <si>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</si>
  <si>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</si>
  <si>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</si>
  <si>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</si>
  <si>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</si>
  <si>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</si>
  <si>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</si>
  <si>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</si>
  <si>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</si>
  <si>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</si>
  <si>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</si>
  <si>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</si>
  <si>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</si>
  <si>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</si>
  <si>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</si>
  <si>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</si>
  <si>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</si>
  <si>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</si>
  <si>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</si>
  <si>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</si>
  <si>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</si>
  <si>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</si>
  <si>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</si>
  <si>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</si>
  <si>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</si>
  <si>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</si>
  <si>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</si>
  <si>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</si>
  <si>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</si>
  <si>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</si>
  <si>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</si>
  <si>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</si>
  <si>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</si>
  <si>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</si>
  <si>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</si>
  <si>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</si>
  <si>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</si>
  <si>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</si>
  <si>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</si>
  <si>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</si>
  <si>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</si>
  <si>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</si>
  <si>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</si>
  <si>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</si>
  <si>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</si>
  <si>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</si>
  <si>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</si>
  <si>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</si>
  <si>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</si>
  <si>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</si>
  <si>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</si>
  <si>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</si>
  <si>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</si>
  <si>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</si>
  <si>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</si>
  <si>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</si>
  <si>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</si>
  <si>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</si>
  <si>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</si>
  <si>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</si>
  <si>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</si>
  <si>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</si>
  <si>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</si>
  <si>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</si>
  <si>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</si>
  <si>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</si>
  <si>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</si>
  <si>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</si>
  <si>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</si>
  <si>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</si>
  <si>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</si>
  <si>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</si>
  <si>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</si>
  <si>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</si>
  <si>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</si>
  <si>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</si>
  <si>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</si>
  <si>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</si>
  <si>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</si>
  <si>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</si>
  <si>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</si>
  <si>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</si>
  <si>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</si>
  <si>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</si>
  <si>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</si>
  <si>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</si>
  <si>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</si>
  <si>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</si>
  <si>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</si>
  <si>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</si>
  <si>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</si>
  <si>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</si>
  <si>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</si>
  <si>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</si>
  <si>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</si>
  <si>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</si>
  <si>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</si>
  <si>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</si>
  <si>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</si>
  <si>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</si>
  <si>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</si>
  <si>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</si>
  <si>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</si>
  <si>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</si>
  <si>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</si>
  <si>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</si>
  <si>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</si>
  <si>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</si>
  <si>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</si>
  <si>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</si>
  <si>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</si>
  <si>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</si>
  <si>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</si>
  <si>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</si>
  <si>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</si>
  <si>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</si>
  <si>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</si>
  <si>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</si>
  <si>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</si>
  <si>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</si>
  <si>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</si>
  <si>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</si>
  <si>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</si>
  <si>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</si>
  <si>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</si>
  <si>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</si>
  <si>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</si>
  <si>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</si>
  <si>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</si>
  <si>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</si>
  <si>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</si>
  <si>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</si>
  <si>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</si>
  <si>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</si>
  <si>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</si>
  <si>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</si>
  <si>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</si>
  <si>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</si>
  <si>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</si>
  <si>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</si>
  <si>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</si>
  <si>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</si>
  <si>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</si>
  <si>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</si>
  <si>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</si>
  <si>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</si>
  <si>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</si>
  <si>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</si>
  <si>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</si>
  <si>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</si>
  <si>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</si>
  <si>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</si>
  <si>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</si>
  <si>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</si>
  <si>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</si>
  <si>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</si>
  <si>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</si>
  <si>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</si>
  <si>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</si>
  <si>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</si>
  <si>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</si>
  <si>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</si>
  <si>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</si>
  <si>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</si>
  <si>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</si>
  <si>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</si>
  <si>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</si>
  <si>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</si>
  <si>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</si>
  <si>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</si>
  <si>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</si>
  <si>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</si>
  <si>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</si>
  <si>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</si>
  <si>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</si>
  <si>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</si>
  <si>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</si>
  <si>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</si>
  <si>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</si>
  <si>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</si>
  <si>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</si>
  <si>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</si>
  <si>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</si>
  <si>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</si>
  <si>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</si>
  <si>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</si>
  <si>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</si>
  <si>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</si>
  <si>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</si>
  <si>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</si>
  <si>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</si>
  <si>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</si>
  <si>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</si>
  <si>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</si>
  <si>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</si>
  <si>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</si>
  <si>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</si>
  <si>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</si>
  <si>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</si>
  <si>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</si>
  <si>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</si>
  <si>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</si>
  <si>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</si>
  <si>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</si>
  <si>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</si>
  <si>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</si>
  <si>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</si>
  <si>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</si>
  <si>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</si>
  <si>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</si>
  <si>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</si>
  <si>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</si>
  <si>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</si>
  <si>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</si>
  <si>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</si>
  <si>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</si>
  <si>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</si>
  <si>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</si>
  <si>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</si>
  <si>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</si>
  <si>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</si>
  <si>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</si>
  <si>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</si>
  <si>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</si>
  <si>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</si>
  <si>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</si>
  <si>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</si>
  <si>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</si>
  <si>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</si>
  <si>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</si>
  <si>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</si>
  <si>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</si>
  <si>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</si>
  <si>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</si>
  <si>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</si>
  <si>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</si>
  <si>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</si>
  <si>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</si>
  <si>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</si>
  <si>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</si>
  <si>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</si>
  <si>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</si>
  <si>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</si>
  <si>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</si>
  <si>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</si>
  <si>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</si>
  <si>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</si>
  <si>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</si>
  <si>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</si>
  <si>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</si>
  <si>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</si>
  <si>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</si>
  <si>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</si>
  <si>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</si>
  <si>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</si>
  <si>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</si>
  <si>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</si>
  <si>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</si>
  <si>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</si>
  <si>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</si>
  <si>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</si>
  <si>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</si>
  <si>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</si>
  <si>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</si>
  <si>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</si>
  <si>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</si>
  <si>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</si>
  <si>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</si>
  <si>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</si>
  <si>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</si>
  <si>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</si>
  <si>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</si>
  <si>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</si>
  <si>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</si>
  <si>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</si>
  <si>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</si>
  <si>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</si>
  <si>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</si>
  <si>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</si>
  <si>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</si>
  <si>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</si>
  <si>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</si>
  <si>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</si>
  <si>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</si>
  <si>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</si>
  <si>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</si>
  <si>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</si>
  <si>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</si>
  <si>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</si>
  <si>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</si>
  <si>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</si>
  <si>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</si>
  <si>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</si>
  <si>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</si>
  <si>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</si>
  <si>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</si>
  <si>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</si>
  <si>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</si>
  <si>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</si>
  <si>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</si>
  <si>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</si>
  <si>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</si>
  <si>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</si>
  <si>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</si>
  <si>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</si>
  <si>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</si>
  <si>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</si>
  <si>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</si>
  <si>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</si>
  <si>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</si>
  <si>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</si>
  <si>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</si>
  <si>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</si>
  <si>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</si>
  <si>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</si>
  <si>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</si>
  <si>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</si>
  <si>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</si>
  <si>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</si>
  <si>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</si>
  <si>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</si>
  <si>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</si>
  <si>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</si>
  <si>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</si>
  <si>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</si>
  <si>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</si>
  <si>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</si>
  <si>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</si>
  <si>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</si>
  <si>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</si>
  <si>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</si>
  <si>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</si>
  <si>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</si>
  <si>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</si>
  <si>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</si>
  <si>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</si>
  <si>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</si>
  <si>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</si>
  <si>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</si>
  <si>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</si>
  <si>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</si>
  <si>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</si>
  <si>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</si>
  <si>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</si>
  <si>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</si>
  <si>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</si>
  <si>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</si>
  <si>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</si>
  <si>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</si>
  <si>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</si>
  <si>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</si>
  <si>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</si>
  <si>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</si>
  <si>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</si>
  <si>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</si>
  <si>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</si>
  <si>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</si>
  <si>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</si>
  <si>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</si>
  <si>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</si>
  <si>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</si>
  <si>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</si>
  <si>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</si>
  <si>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</si>
  <si>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</si>
  <si>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</si>
  <si>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</si>
  <si>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</si>
  <si>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</si>
  <si>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</si>
  <si>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</si>
  <si>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</si>
  <si>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</si>
  <si>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</si>
  <si>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</si>
  <si>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</si>
  <si>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</si>
  <si>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</si>
  <si>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</si>
  <si>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</si>
  <si>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</si>
  <si>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</si>
  <si>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</si>
  <si>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</si>
  <si>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</si>
  <si>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</si>
  <si>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</si>
  <si>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</si>
  <si>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</si>
  <si>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</si>
  <si>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</si>
  <si>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</si>
  <si>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</si>
  <si>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</si>
  <si>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</si>
  <si>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</si>
  <si>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</si>
  <si>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</si>
  <si>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</si>
  <si>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</si>
  <si>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</si>
  <si>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</si>
  <si>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</si>
  <si>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</si>
  <si>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</si>
  <si>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</si>
  <si>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</si>
  <si>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</si>
  <si>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</si>
  <si>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</si>
  <si>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</si>
  <si>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</si>
  <si>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</si>
  <si>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</si>
  <si>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</si>
  <si>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</si>
  <si>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</si>
  <si>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</si>
  <si>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</si>
  <si>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</si>
  <si>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</si>
  <si>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</si>
  <si>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</si>
  <si>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</si>
  <si>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</si>
  <si>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</si>
  <si>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</si>
  <si>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</si>
  <si>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</si>
  <si>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</si>
  <si>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</si>
  <si>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</si>
  <si>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</si>
  <si>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</si>
  <si>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</si>
  <si>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</si>
  <si>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</si>
  <si>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</si>
  <si>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</si>
  <si>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</si>
  <si>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</si>
  <si>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</si>
  <si>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</si>
  <si>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</si>
  <si>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</si>
  <si>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</si>
  <si>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</si>
  <si>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</si>
  <si>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</si>
  <si>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</si>
  <si>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</si>
  <si>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</si>
  <si>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</si>
  <si>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</si>
  <si>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</si>
  <si>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</si>
  <si>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</si>
  <si>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</si>
  <si>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</si>
  <si>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</si>
  <si>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</si>
  <si>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</si>
  <si>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</si>
  <si>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</si>
  <si>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</si>
  <si>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</si>
  <si>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</si>
  <si>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</si>
  <si>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</si>
  <si>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</si>
  <si>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</si>
  <si>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</si>
  <si>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</si>
  <si>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</si>
  <si>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</si>
  <si>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</si>
  <si>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</si>
  <si>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</si>
  <si>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</si>
  <si>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</si>
  <si>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</si>
  <si>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</si>
  <si>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</si>
  <si>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</si>
  <si>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</si>
  <si>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</si>
  <si>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</si>
  <si>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</si>
  <si>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</si>
  <si>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</si>
  <si>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</si>
  <si>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</si>
  <si>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</si>
  <si>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</si>
  <si>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</si>
  <si>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</si>
  <si>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</si>
  <si>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</si>
  <si>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</si>
  <si>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</si>
  <si>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</si>
  <si>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</si>
  <si>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</si>
  <si>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</si>
  <si>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</si>
  <si>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</si>
  <si>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</si>
  <si>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</si>
  <si>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</si>
  <si>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</si>
  <si>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</si>
  <si>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</si>
  <si>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</si>
  <si>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</si>
  <si>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</si>
  <si>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</si>
  <si>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</si>
  <si>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</si>
  <si>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</si>
  <si>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</si>
  <si>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</si>
  <si>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</si>
  <si>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</si>
  <si>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</si>
  <si>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</si>
  <si>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</si>
  <si>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</si>
  <si>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</si>
  <si>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</si>
  <si>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</si>
  <si>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</si>
  <si>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</si>
  <si>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</si>
  <si>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</si>
  <si>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</si>
  <si>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</si>
  <si>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</si>
  <si>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</si>
  <si>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</si>
  <si>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</si>
  <si>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</si>
  <si>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</si>
  <si>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</si>
  <si>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</si>
  <si>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</si>
  <si>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</si>
  <si>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</si>
  <si>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</si>
  <si>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</si>
  <si>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</si>
  <si>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</si>
  <si>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</si>
  <si>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</si>
  <si>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</si>
  <si>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</si>
  <si>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</si>
  <si>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</si>
  <si>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</si>
  <si>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</si>
  <si>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</si>
  <si>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</si>
  <si>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</si>
  <si>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</si>
  <si>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</si>
  <si>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</si>
  <si>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</si>
  <si>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</si>
  <si>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</si>
  <si>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</si>
  <si>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</si>
  <si>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</si>
  <si>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</si>
  <si>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</si>
  <si>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</si>
  <si>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</si>
  <si>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</si>
  <si>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</si>
  <si>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</si>
  <si>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</si>
  <si>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</si>
  <si>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</si>
  <si>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</si>
  <si>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</si>
  <si>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</si>
  <si>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</si>
  <si>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</si>
  <si>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</si>
  <si>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</si>
  <si>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</si>
  <si>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</si>
  <si>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</si>
  <si>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</si>
  <si>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</si>
  <si>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</si>
  <si>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</si>
  <si>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</si>
  <si>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</si>
  <si>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</si>
  <si>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</si>
  <si>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</si>
  <si>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</si>
  <si>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</si>
  <si>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</si>
  <si>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</si>
  <si>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</si>
  <si>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</si>
  <si>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</si>
  <si>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</si>
  <si>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</si>
  <si>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</si>
  <si>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</si>
  <si>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</si>
  <si>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</si>
  <si>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</si>
  <si>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</si>
  <si>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</si>
  <si>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</si>
  <si>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</si>
  <si>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</si>
  <si>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</si>
  <si>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</si>
  <si>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</si>
  <si>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</si>
  <si>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</si>
  <si>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</si>
  <si>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</si>
  <si>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</si>
  <si>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</si>
  <si>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</si>
  <si>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</si>
  <si>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</si>
  <si>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</si>
  <si>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</si>
  <si>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</si>
  <si>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</si>
  <si>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</si>
  <si>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</si>
  <si>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</si>
  <si>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</si>
  <si>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</si>
  <si>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</si>
  <si>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</si>
  <si>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</si>
  <si>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</si>
  <si>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</si>
  <si>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</si>
  <si>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</si>
  <si>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</si>
  <si>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</si>
  <si>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</si>
  <si>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</si>
  <si>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</si>
  <si>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</si>
  <si>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</si>
  <si>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</si>
  <si>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</si>
  <si>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</si>
  <si>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</si>
  <si>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</si>
  <si>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</si>
  <si>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</si>
  <si>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</si>
  <si>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</si>
  <si>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</si>
  <si>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</si>
  <si>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</si>
  <si>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</si>
  <si>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</si>
  <si>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</si>
  <si>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</si>
  <si>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</si>
  <si>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</si>
  <si>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</si>
  <si>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</si>
  <si>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</si>
  <si>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</si>
  <si>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</si>
  <si>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</si>
  <si>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</si>
  <si>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</si>
  <si>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</si>
  <si>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</si>
  <si>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</si>
  <si>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</si>
  <si>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</si>
  <si>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</si>
  <si>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</si>
  <si>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</si>
  <si>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</si>
  <si>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</si>
  <si>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</si>
  <si>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</si>
  <si>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</si>
  <si>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</si>
  <si>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</si>
  <si>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</si>
  <si>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</si>
  <si>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</si>
  <si>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</si>
  <si>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</si>
  <si>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</si>
  <si>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</si>
  <si>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</si>
  <si>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</si>
  <si>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</si>
  <si>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</si>
  <si>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</si>
  <si>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</si>
  <si>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</si>
  <si>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</si>
  <si>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</si>
  <si>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</si>
  <si>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</si>
  <si>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</si>
  <si>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</si>
  <si>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</si>
  <si>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</si>
  <si>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</si>
  <si>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</si>
  <si>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</si>
  <si>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</si>
  <si>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</si>
  <si>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</si>
  <si>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</si>
  <si>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</si>
  <si>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</si>
  <si>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</si>
  <si>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</si>
  <si>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</si>
  <si>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</si>
  <si>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</si>
  <si>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</si>
  <si>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</si>
  <si>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</si>
  <si>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</si>
  <si>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</si>
  <si>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</si>
  <si>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</si>
  <si>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</si>
  <si>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</si>
  <si>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</si>
  <si>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</si>
  <si>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</si>
  <si>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</si>
  <si>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</si>
  <si>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</si>
  <si>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</si>
  <si>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</si>
  <si>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</si>
  <si>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</si>
  <si>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</si>
  <si>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</si>
  <si>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</si>
  <si>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</si>
  <si>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</si>
  <si>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</si>
  <si>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</si>
  <si>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</si>
  <si>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</si>
  <si>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</si>
  <si>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</si>
  <si>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</si>
  <si>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</si>
  <si>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</si>
  <si>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</si>
  <si>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</si>
  <si>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</si>
  <si>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</si>
  <si>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</si>
  <si>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</si>
  <si>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</si>
  <si>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</si>
  <si>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</si>
  <si>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</si>
  <si>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</si>
  <si>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</si>
  <si>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</si>
  <si>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</si>
  <si>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</si>
  <si>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</si>
  <si>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</si>
  <si>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</si>
  <si>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</si>
  <si>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</si>
  <si>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</si>
  <si>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</si>
  <si>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</si>
  <si>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</si>
  <si>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</si>
  <si>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</si>
  <si>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</si>
  <si>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</si>
  <si>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</si>
  <si>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</si>
  <si>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</si>
  <si>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</si>
  <si>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</si>
  <si>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</si>
  <si>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</si>
  <si>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</si>
  <si>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</si>
  <si>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</si>
  <si>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</si>
  <si>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</si>
  <si>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</si>
  <si>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</si>
  <si>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</si>
  <si>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</si>
  <si>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</si>
  <si>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</si>
  <si>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</si>
  <si>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</si>
  <si>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</si>
  <si>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</si>
  <si>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</si>
  <si>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</si>
  <si>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</si>
  <si>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</si>
  <si>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</si>
  <si>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</si>
  <si>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</si>
  <si>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</si>
  <si>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</si>
  <si>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</si>
  <si>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</si>
  <si>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</si>
  <si>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</si>
  <si>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</si>
  <si>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</si>
  <si>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</si>
  <si>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</si>
  <si>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</si>
  <si>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</si>
  <si>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</si>
  <si>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</si>
  <si>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</si>
  <si>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</si>
  <si>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</si>
  <si>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</si>
  <si>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</si>
  <si>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</si>
  <si>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</si>
  <si>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</si>
  <si>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</si>
  <si>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</si>
  <si>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</si>
  <si>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</si>
  <si>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</si>
  <si>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</si>
  <si>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</si>
  <si>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</si>
  <si>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</si>
  <si>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</si>
  <si>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</si>
  <si>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</si>
  <si>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</si>
  <si>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</si>
  <si>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</si>
  <si>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</si>
  <si>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</si>
  <si>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</si>
  <si>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</si>
  <si>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</si>
  <si>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</si>
  <si>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</si>
  <si>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</si>
  <si>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</si>
  <si>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</si>
  <si>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</si>
  <si>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</si>
  <si>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</si>
  <si>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</si>
  <si>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</si>
  <si>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</si>
  <si>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</si>
  <si>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</si>
  <si>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</si>
  <si>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</si>
  <si>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</si>
  <si>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</si>
  <si>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</si>
  <si>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</si>
  <si>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</si>
  <si>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</si>
  <si>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</si>
  <si>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</si>
  <si>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</si>
  <si>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</si>
  <si>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</si>
  <si>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</si>
  <si>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</si>
  <si>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</si>
  <si>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</si>
  <si>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</si>
  <si>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</si>
  <si>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</si>
  <si>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</si>
  <si>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</si>
  <si>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</si>
  <si>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</si>
  <si>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</si>
  <si>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</si>
  <si>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</si>
  <si>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</si>
  <si>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</si>
  <si>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</si>
  <si>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</si>
  <si>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</si>
  <si>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</si>
  <si>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</si>
  <si>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</si>
  <si>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</si>
  <si>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</si>
  <si>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</si>
  <si>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</si>
  <si>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</si>
  <si>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</si>
  <si>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</si>
  <si>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</si>
  <si>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</si>
  <si>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</si>
  <si>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</si>
  <si>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</si>
  <si>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</si>
  <si>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</si>
  <si>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</si>
  <si>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</si>
  <si>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</si>
  <si>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</si>
  <si>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</si>
  <si>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</si>
  <si>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</si>
  <si>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</si>
  <si>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</si>
  <si>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</si>
  <si>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</si>
  <si>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</si>
  <si>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</si>
  <si>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</si>
  <si>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</si>
  <si>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</si>
  <si>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</si>
  <si>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</si>
  <si>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</si>
  <si>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</si>
  <si>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</si>
  <si>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</si>
  <si>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</si>
  <si>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</si>
  <si>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</si>
  <si>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</si>
  <si>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</si>
  <si>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</si>
  <si>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</si>
  <si>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</si>
  <si>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</si>
  <si>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</si>
  <si>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</si>
  <si>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</si>
  <si>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</si>
  <si>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</si>
  <si>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</si>
  <si>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</si>
  <si>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</si>
  <si>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</si>
  <si>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</si>
  <si>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</si>
  <si>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</si>
  <si>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</si>
  <si>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</si>
  <si>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</si>
  <si>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</si>
  <si>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</si>
  <si>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</si>
  <si>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</si>
  <si>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</si>
  <si>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</si>
  <si>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</si>
  <si>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</si>
  <si>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</si>
  <si>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</si>
  <si>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</si>
  <si>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</si>
  <si>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</si>
  <si>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</si>
  <si>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</si>
  <si>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</si>
  <si>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</si>
  <si>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</si>
  <si>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</si>
  <si>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</si>
  <si>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</si>
  <si>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</si>
  <si>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</si>
  <si>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</si>
  <si>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</si>
  <si>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</si>
  <si>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</si>
  <si>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</si>
  <si>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</si>
  <si>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</si>
  <si>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</si>
  <si>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</si>
  <si>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</si>
  <si>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</si>
  <si>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</si>
  <si>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</si>
  <si>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</si>
  <si>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</si>
  <si>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</si>
  <si>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</si>
  <si>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</si>
  <si>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</si>
  <si>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</si>
  <si>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</si>
  <si>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</si>
  <si>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</si>
  <si>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</si>
  <si>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</si>
  <si>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</si>
  <si>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</si>
  <si>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</si>
  <si>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</si>
  <si>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</si>
  <si>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</si>
  <si>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</si>
  <si>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</si>
  <si>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</si>
  <si>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</si>
  <si>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</si>
  <si>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</si>
  <si>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</si>
  <si>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</si>
  <si>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</si>
  <si>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</si>
  <si>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</si>
  <si>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</si>
  <si>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</si>
  <si>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</si>
  <si>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</si>
  <si>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</si>
  <si>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</si>
  <si>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</si>
  <si>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</si>
  <si>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</si>
  <si>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</si>
  <si>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</si>
  <si>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</si>
  <si>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</si>
  <si>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</si>
  <si>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</si>
  <si>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</si>
  <si>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</si>
  <si>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</si>
  <si>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</si>
  <si>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</si>
  <si>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</si>
  <si>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</si>
  <si>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</si>
  <si>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</si>
  <si>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</si>
  <si>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</si>
  <si>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</si>
  <si>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</si>
  <si>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</si>
  <si>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</si>
  <si>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</si>
  <si>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</si>
  <si>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</si>
  <si>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</si>
  <si>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</si>
  <si>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</si>
  <si>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</si>
  <si>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</si>
  <si>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</si>
  <si>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</si>
  <si>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</si>
  <si>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</si>
  <si>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</si>
  <si>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</si>
  <si>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</si>
  <si>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</si>
  <si>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</si>
  <si>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</si>
  <si>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</si>
  <si>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</si>
  <si>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</si>
  <si>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</si>
  <si>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</si>
  <si>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</si>
  <si>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</si>
  <si>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</si>
  <si>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</si>
  <si>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</si>
  <si>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</si>
  <si>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</si>
  <si>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</si>
  <si>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</si>
  <si>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</si>
  <si>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</si>
  <si>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</si>
  <si>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</si>
  <si>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</si>
  <si>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</si>
  <si>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</si>
  <si>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</si>
  <si>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</si>
  <si>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</si>
  <si>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</si>
  <si>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</si>
  <si>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</si>
  <si>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</si>
  <si>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</si>
  <si>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</si>
  <si>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</si>
  <si>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</si>
  <si>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</si>
  <si>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</si>
  <si>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</si>
  <si>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</si>
  <si>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</si>
  <si>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</si>
  <si>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</si>
  <si>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</si>
  <si>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</si>
  <si>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</si>
  <si>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</si>
  <si>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</si>
  <si>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</si>
  <si>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</si>
  <si>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</si>
  <si>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</si>
  <si>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</si>
  <si>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</si>
  <si>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</si>
  <si>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</si>
  <si>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</si>
  <si>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</si>
  <si>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</si>
  <si>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</si>
  <si>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</si>
  <si>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</si>
  <si>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</si>
  <si>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Lergue</t>
  </si>
  <si>
    <t xml:space="preserve">Brignac</t>
  </si>
  <si>
    <t xml:space="preserve">06183000</t>
  </si>
  <si>
    <t xml:space="preserve">RCS PACA</t>
  </si>
  <si>
    <t xml:space="preserve">Robustesse:</t>
  </si>
  <si>
    <t xml:space="preserve">pl. courant</t>
  </si>
  <si>
    <t xml:space="preserve">pl. lent</t>
  </si>
  <si>
    <t xml:space="preserve">très élevé</t>
  </si>
  <si>
    <t xml:space="preserve">(très élevé)</t>
  </si>
  <si>
    <t xml:space="preserve">périphyton</t>
  </si>
  <si>
    <t xml:space="preserve"> rec. par taxa (3,412 %) supérieur à 20 % !</t>
  </si>
  <si>
    <t xml:space="preserve">Cf.</t>
  </si>
  <si>
    <t xml:space="preserve">NEWCOD</t>
  </si>
  <si>
    <t xml:space="preserve">Rorippa sylvestris</t>
  </si>
  <si>
    <t xml:space="preserve">Paspalum distichum</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</si>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</sst>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08">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b val="true"/>
      <sz val="11"/>
      <color rgb="FF000000"/>
      <name val="Calibri"/>
      <family val="2"/>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BFBFBF"/>
        <bgColor rgb="FFC0C0C0"/>
      </patternFill>
    </fill>
    <fill>
      <patternFill patternType="solid">
        <fgColor rgb="FFFFCC00"/>
        <bgColor rgb="FFFFFF00"/>
      </patternFill>
    </fill>
    <fill>
      <patternFill patternType="solid">
        <fgColor rgb="FFC0C0C0"/>
        <bgColor rgb="FFBFBFBF"/>
      </patternFill>
    </fill>
    <fill>
      <patternFill patternType="solid">
        <fgColor rgb="FFEFEFEF"/>
        <bgColor rgb="FFFFFFFF"/>
      </patternFill>
    </fill>
    <fill>
      <patternFill patternType="solid">
        <fgColor rgb="FFFFFF99"/>
        <bgColor rgb="FFEFEFEF"/>
      </patternFill>
    </fill>
    <fill>
      <patternFill patternType="solid">
        <fgColor rgb="FFFFFFFF"/>
        <bgColor rgb="FFEFEFEF"/>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general"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general"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general"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5" fillId="0" borderId="12" xfId="0" applyFont="true" applyBorder="true" applyAlignment="true" applyProtection="false">
      <alignment horizontal="general" vertical="bottom" textRotation="0" wrapText="false" indent="0" shrinkToFit="false"/>
      <protection locked="tru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26" fillId="0" borderId="14" xfId="0" applyFont="true" applyBorder="true" applyAlignment="true" applyProtection="false">
      <alignment horizontal="center" vertical="center"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6" borderId="15" xfId="0" applyFont="true" applyBorder="true" applyAlignment="true" applyProtection="false">
      <alignment horizontal="center" vertical="bottom" textRotation="0" wrapText="false" indent="0" shrinkToFit="false"/>
      <protection locked="true" hidden="false"/>
    </xf>
    <xf numFmtId="164" fontId="30" fillId="6" borderId="15" xfId="0" applyFont="true" applyBorder="true" applyAlignment="false" applyProtection="false">
      <alignment horizontal="general" vertical="bottom" textRotation="0" wrapText="false" indent="0" shrinkToFit="false"/>
      <protection locked="true" hidden="false"/>
    </xf>
    <xf numFmtId="164" fontId="31" fillId="6" borderId="12" xfId="0" applyFont="true" applyBorder="true" applyAlignment="true" applyProtection="false">
      <alignment horizontal="center" vertical="bottom" textRotation="0" wrapText="tru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30" fillId="7" borderId="17" xfId="0" applyFont="true" applyBorder="true" applyAlignment="true" applyProtection="false">
      <alignment horizontal="left" vertical="bottom" textRotation="0" wrapText="false" indent="0" shrinkToFit="false"/>
      <protection locked="true" hidden="false"/>
    </xf>
    <xf numFmtId="164" fontId="25" fillId="7" borderId="17" xfId="0" applyFont="true" applyBorder="true" applyAlignment="true" applyProtection="false">
      <alignment horizontal="general" vertical="bottom" textRotation="0" wrapText="false" indent="0" shrinkToFit="false"/>
      <protection locked="true" hidden="false"/>
    </xf>
    <xf numFmtId="164" fontId="20" fillId="7" borderId="8" xfId="0" applyFont="true" applyBorder="true" applyAlignment="true" applyProtection="false">
      <alignment horizontal="right" vertical="bottom" textRotation="0" wrapText="false" indent="0" shrinkToFit="false"/>
      <protection locked="true" hidden="false"/>
    </xf>
    <xf numFmtId="164" fontId="20" fillId="7" borderId="18" xfId="0" applyFont="true" applyBorder="true" applyAlignment="true" applyProtection="false">
      <alignment horizontal="right" vertical="bottom" textRotation="0" wrapText="false" indent="0" shrinkToFit="false"/>
      <protection locked="true" hidden="false"/>
    </xf>
    <xf numFmtId="164" fontId="31" fillId="8" borderId="19" xfId="0" applyFont="true" applyBorder="true" applyAlignment="true" applyProtection="false">
      <alignment horizontal="center"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33" fillId="9" borderId="8" xfId="0" applyFont="true" applyBorder="true" applyAlignment="true" applyProtection="false">
      <alignment horizontal="center" vertical="bottom" textRotation="0" wrapText="false" indent="0" shrinkToFit="false"/>
      <protection locked="true" hidden="false"/>
    </xf>
    <xf numFmtId="164" fontId="33" fillId="6" borderId="8" xfId="0" applyFont="true" applyBorder="true" applyAlignment="true" applyProtection="false">
      <alignment horizontal="general"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0" fillId="6"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5" fillId="10" borderId="17" xfId="0" applyFont="true" applyBorder="true" applyAlignment="true" applyProtection="false">
      <alignment horizontal="left" vertical="bottom" textRotation="0" wrapText="false" indent="0" shrinkToFit="false"/>
      <protection locked="true" hidden="false"/>
    </xf>
    <xf numFmtId="164" fontId="36" fillId="10" borderId="17" xfId="0" applyFont="true" applyBorder="true" applyAlignment="true" applyProtection="false">
      <alignment horizontal="general" vertical="bottom" textRotation="0" wrapText="false" indent="0" shrinkToFit="false"/>
      <protection locked="true" hidden="false"/>
    </xf>
    <xf numFmtId="165" fontId="26" fillId="10" borderId="0" xfId="0" applyFont="true" applyBorder="true" applyAlignment="true" applyProtection="false">
      <alignment horizontal="center" vertical="bottom" textRotation="0" wrapText="false" indent="0" shrinkToFit="false"/>
      <protection locked="true" hidden="false"/>
    </xf>
    <xf numFmtId="165" fontId="26" fillId="10" borderId="19" xfId="0" applyFont="true" applyBorder="true" applyAlignment="true" applyProtection="false">
      <alignment horizontal="center" vertical="bottom" textRotation="0" wrapText="false" indent="0" shrinkToFit="false"/>
      <protection locked="true" hidden="false"/>
    </xf>
    <xf numFmtId="164" fontId="34" fillId="8" borderId="19" xfId="0" applyFont="true" applyBorder="true" applyAlignment="true" applyProtection="false">
      <alignment horizontal="general" vertical="bottom" textRotation="0" wrapText="false" indent="0" shrinkToFit="false"/>
      <protection locked="true" hidden="false"/>
    </xf>
    <xf numFmtId="164" fontId="33" fillId="9" borderId="0" xfId="0" applyFont="true" applyBorder="false" applyAlignment="true" applyProtection="false">
      <alignment horizontal="center" vertical="bottom" textRotation="0" wrapText="false" indent="0" shrinkToFit="false"/>
      <protection locked="true" hidden="false"/>
    </xf>
    <xf numFmtId="165" fontId="33" fillId="9" borderId="0" xfId="0" applyFont="true" applyBorder="false" applyAlignment="true" applyProtection="false">
      <alignment horizontal="center" vertical="bottom" textRotation="0" wrapText="false" indent="0" shrinkToFit="false"/>
      <protection locked="true" hidden="false"/>
    </xf>
    <xf numFmtId="164" fontId="33" fillId="6" borderId="0" xfId="0" applyFont="true" applyBorder="false" applyAlignment="true" applyProtection="false">
      <alignment horizontal="general" vertical="bottom" textRotation="0" wrapText="false" indent="0" shrinkToFit="false"/>
      <protection locked="true" hidden="false"/>
    </xf>
    <xf numFmtId="165" fontId="26" fillId="7" borderId="0" xfId="0" applyFont="true" applyBorder="true" applyAlignment="true" applyProtection="false">
      <alignment horizontal="center" vertical="bottom" textRotation="0" wrapText="false" indent="0" shrinkToFit="false"/>
      <protection locked="true" hidden="false"/>
    </xf>
    <xf numFmtId="165" fontId="26" fillId="7" borderId="19" xfId="0" applyFont="true" applyBorder="true" applyAlignment="true" applyProtection="false">
      <alignment horizontal="center" vertical="bottom" textRotation="0" wrapText="false" indent="0" shrinkToFit="false"/>
      <protection locked="true" hidden="false"/>
    </xf>
    <xf numFmtId="164" fontId="37" fillId="8" borderId="19" xfId="0" applyFont="true" applyBorder="true" applyAlignment="true" applyProtection="false">
      <alignment horizontal="left" vertical="bottom" textRotation="0" wrapText="false" indent="0" shrinkToFit="false"/>
      <protection locked="true" hidden="false"/>
    </xf>
    <xf numFmtId="164" fontId="38" fillId="10" borderId="17" xfId="0" applyFont="true" applyBorder="true" applyAlignment="true" applyProtection="false">
      <alignment horizontal="left" vertical="bottom" textRotation="0" wrapText="false" indent="0" shrinkToFit="false"/>
      <protection locked="true" hidden="false"/>
    </xf>
    <xf numFmtId="166" fontId="32" fillId="0" borderId="0" xfId="0" applyFont="true" applyBorder="false" applyAlignment="true" applyProtection="false">
      <alignment horizontal="left" vertical="bottom" textRotation="0" wrapText="tru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2" fillId="0" borderId="0" xfId="0" applyFont="true" applyBorder="true" applyAlignment="true" applyProtection="false">
      <alignment horizontal="left" vertical="bottom" textRotation="0" wrapText="false" indent="0" shrinkToFit="false"/>
      <protection locked="true" hidden="false"/>
    </xf>
    <xf numFmtId="164" fontId="41" fillId="10" borderId="17" xfId="0" applyFont="true" applyBorder="true" applyAlignment="true" applyProtection="false">
      <alignment horizontal="general" vertical="bottom" textRotation="0" wrapText="false" indent="0" shrinkToFit="false"/>
      <protection locked="true" hidden="false"/>
    </xf>
    <xf numFmtId="164" fontId="37" fillId="8" borderId="19"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tru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2" fillId="0" borderId="19" xfId="0" applyFont="true" applyBorder="true" applyAlignment="true" applyProtection="false">
      <alignment horizontal="general" vertical="bottom" textRotation="0" wrapText="false" indent="0" shrinkToFit="false"/>
      <protection locked="true" hidden="false"/>
    </xf>
    <xf numFmtId="164" fontId="33" fillId="6" borderId="21" xfId="0" applyFont="true" applyBorder="true" applyAlignment="true" applyProtection="false">
      <alignment horizontal="general" vertical="bottom" textRotation="0" wrapText="false" indent="0" shrinkToFit="false"/>
      <protection locked="true" hidden="false"/>
    </xf>
    <xf numFmtId="164" fontId="30" fillId="10" borderId="17" xfId="0" applyFont="true" applyBorder="true" applyAlignment="true" applyProtection="false">
      <alignment horizontal="left" vertical="bottom" textRotation="0" wrapText="false" indent="0" shrinkToFit="false"/>
      <protection locked="true" hidden="false"/>
    </xf>
    <xf numFmtId="164" fontId="30" fillId="7" borderId="17" xfId="0" applyFont="true" applyBorder="true" applyAlignment="true" applyProtection="false">
      <alignment horizontal="general" vertical="bottom" textRotation="0" wrapText="false" indent="0" shrinkToFit="false"/>
      <protection locked="true" hidden="false"/>
    </xf>
    <xf numFmtId="164" fontId="31" fillId="8" borderId="19" xfId="0" applyFont="tru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6" borderId="20" xfId="0" applyFont="true" applyBorder="true" applyAlignment="true" applyProtection="false">
      <alignment horizontal="general" vertical="bottom" textRotation="0" wrapText="false" indent="0" shrinkToFit="false"/>
      <protection locked="true" hidden="false"/>
    </xf>
    <xf numFmtId="164" fontId="34" fillId="8" borderId="19" xfId="0" applyFont="true" applyBorder="true" applyAlignment="true" applyProtection="false">
      <alignment horizontal="left" vertical="bottom" textRotation="0" wrapText="false" indent="0" shrinkToFit="false"/>
      <protection locked="true" hidden="false"/>
    </xf>
    <xf numFmtId="164" fontId="47" fillId="0" borderId="20" xfId="0" applyFont="true" applyBorder="true" applyAlignment="true" applyProtection="false">
      <alignment horizontal="general" vertical="bottom" textRotation="0" wrapText="false" indent="0" shrinkToFit="false"/>
      <protection locked="true" hidden="false"/>
    </xf>
    <xf numFmtId="164" fontId="47" fillId="0" borderId="20" xfId="0" applyFont="true" applyBorder="true" applyAlignment="false" applyProtection="false">
      <alignment horizontal="general" vertical="bottom" textRotation="0" wrapText="false" indent="0" shrinkToFit="false"/>
      <protection locked="true" hidden="false"/>
    </xf>
    <xf numFmtId="164" fontId="47" fillId="0" borderId="2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9" fillId="9" borderId="0" xfId="0" applyFont="true" applyBorder="false" applyAlignment="true" applyProtection="false">
      <alignment horizontal="center" vertical="bottom" textRotation="0" wrapText="false" indent="0" shrinkToFit="false"/>
      <protection locked="true" hidden="false"/>
    </xf>
    <xf numFmtId="165" fontId="49" fillId="9" borderId="0" xfId="0" applyFont="true" applyBorder="false" applyAlignment="true" applyProtection="false">
      <alignment horizontal="center" vertical="bottom" textRotation="0" wrapText="false" indent="0" shrinkToFit="false"/>
      <protection locked="true" hidden="false"/>
    </xf>
    <xf numFmtId="164" fontId="50" fillId="9" borderId="0" xfId="0" applyFont="true" applyBorder="false" applyAlignment="true" applyProtection="false">
      <alignment horizontal="center" vertical="bottom" textRotation="0" wrapText="false" indent="0" shrinkToFit="false"/>
      <protection locked="true" hidden="false"/>
    </xf>
    <xf numFmtId="164" fontId="50" fillId="6" borderId="0" xfId="0" applyFont="true" applyBorder="false" applyAlignment="true" applyProtection="false">
      <alignment horizontal="general" vertical="bottom" textRotation="0" wrapText="false" indent="0" shrinkToFit="false"/>
      <protection locked="true" hidden="false"/>
    </xf>
    <xf numFmtId="164" fontId="51" fillId="6"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3" fillId="9" borderId="9" xfId="0" applyFont="true" applyBorder="true" applyAlignment="true" applyProtection="false">
      <alignment horizontal="center"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0" fillId="8" borderId="19" xfId="0" applyFont="true" applyBorder="true" applyAlignment="true" applyProtection="false">
      <alignment horizontal="left"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5" fillId="10" borderId="17" xfId="0" applyFont="true" applyBorder="true" applyAlignment="true" applyProtection="false">
      <alignment horizontal="left" vertical="top" textRotation="0" wrapText="false" indent="0" shrinkToFit="false"/>
      <protection locked="true" hidden="false"/>
    </xf>
    <xf numFmtId="164" fontId="0" fillId="6" borderId="20" xfId="0" applyFont="false" applyBorder="true" applyAlignment="true" applyProtection="false">
      <alignment horizontal="general" vertical="bottom" textRotation="0" wrapText="false" indent="0" shrinkToFit="false"/>
      <protection locked="true" hidden="false"/>
    </xf>
    <xf numFmtId="164" fontId="53" fillId="9" borderId="0" xfId="0" applyFont="true" applyBorder="false" applyAlignment="true" applyProtection="false">
      <alignment horizontal="center" vertical="bottom" textRotation="0" wrapText="false" indent="0" shrinkToFit="false"/>
      <protection locked="true" hidden="false"/>
    </xf>
    <xf numFmtId="164" fontId="53" fillId="6" borderId="0" xfId="0" applyFont="true" applyBorder="false" applyAlignment="true" applyProtection="false">
      <alignment horizontal="general" vertical="bottom" textRotation="0" wrapText="false" indent="0" shrinkToFit="false"/>
      <protection locked="true" hidden="false"/>
    </xf>
    <xf numFmtId="164" fontId="33" fillId="9" borderId="0" xfId="0" applyFont="true" applyBorder="true" applyAlignment="true" applyProtection="false">
      <alignment horizontal="center" vertical="bottom" textRotation="0" wrapText="false" indent="0" shrinkToFit="false"/>
      <protection locked="true" hidden="false"/>
    </xf>
    <xf numFmtId="165" fontId="33" fillId="9" borderId="0" xfId="0" applyFont="true" applyBorder="true" applyAlignment="true" applyProtection="false">
      <alignment horizontal="center" vertical="bottom" textRotation="0" wrapText="false" indent="0" shrinkToFit="false"/>
      <protection locked="true" hidden="false"/>
    </xf>
    <xf numFmtId="164" fontId="33" fillId="6" borderId="0" xfId="0" applyFont="true" applyBorder="true" applyAlignment="true" applyProtection="false">
      <alignment horizontal="general" vertical="bottom" textRotation="0" wrapText="false" indent="0" shrinkToFit="false"/>
      <protection locked="true" hidden="false"/>
    </xf>
    <xf numFmtId="164" fontId="22" fillId="10" borderId="17" xfId="0" applyFont="true" applyBorder="true" applyAlignment="true" applyProtection="false">
      <alignment horizontal="left" vertical="bottom" textRotation="0" wrapText="false" indent="0" shrinkToFit="false"/>
      <protection locked="true" hidden="false"/>
    </xf>
    <xf numFmtId="164" fontId="30" fillId="8" borderId="19"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1" shrinkToFit="false"/>
      <protection locked="true" hidden="false"/>
    </xf>
    <xf numFmtId="167" fontId="35" fillId="10" borderId="17" xfId="0" applyFont="true" applyBorder="true" applyAlignment="true" applyProtection="false">
      <alignment horizontal="left" vertical="bottom" textRotation="0" wrapText="false" indent="0" shrinkToFit="false"/>
      <protection locked="true" hidden="false"/>
    </xf>
    <xf numFmtId="164" fontId="20" fillId="6" borderId="20" xfId="0" applyFont="true" applyBorder="true" applyAlignment="false" applyProtection="false">
      <alignment horizontal="general" vertical="bottom" textRotation="0" wrapText="false" indent="0" shrinkToFit="false"/>
      <protection locked="true" hidden="false"/>
    </xf>
    <xf numFmtId="164" fontId="35" fillId="10" borderId="17" xfId="0" applyFont="true" applyBorder="true" applyAlignment="true" applyProtection="true">
      <alignment horizontal="left" vertical="bottom" textRotation="0" wrapText="false" indent="0" shrinkToFit="false"/>
      <protection locked="true" hidden="false"/>
    </xf>
    <xf numFmtId="164" fontId="36" fillId="10" borderId="17" xfId="0" applyFont="true" applyBorder="true" applyAlignment="true" applyProtection="true">
      <alignment horizontal="general" vertical="bottom" textRotation="0" wrapText="false" indent="0" shrinkToFit="false"/>
      <protection locked="true" hidden="false"/>
    </xf>
    <xf numFmtId="165" fontId="26" fillId="10" borderId="0" xfId="0" applyFont="true" applyBorder="true" applyAlignment="true" applyProtection="true">
      <alignment horizontal="center" vertical="bottom" textRotation="0" wrapText="false" indent="0" shrinkToFit="false"/>
      <protection locked="true" hidden="false"/>
    </xf>
    <xf numFmtId="165" fontId="26" fillId="10" borderId="19" xfId="0" applyFont="true" applyBorder="true" applyAlignment="true" applyProtection="true">
      <alignment horizontal="center" vertical="bottom" textRotation="0" wrapText="false" indent="0" shrinkToFit="false"/>
      <protection locked="true" hidden="false"/>
    </xf>
    <xf numFmtId="164" fontId="37" fillId="8" borderId="19" xfId="0" applyFont="true" applyBorder="true" applyAlignment="true" applyProtection="true">
      <alignment horizontal="general" vertical="bottom" textRotation="0" wrapText="false" indent="0" shrinkToFit="false"/>
      <protection locked="true" hidden="false"/>
    </xf>
    <xf numFmtId="164" fontId="32" fillId="0" borderId="20" xfId="0" applyFont="true" applyBorder="true" applyAlignment="true" applyProtection="true">
      <alignment horizontal="general" vertical="bottom" textRotation="0" wrapText="false" indent="0" shrinkToFit="false"/>
      <protection locked="true" hidden="false"/>
    </xf>
    <xf numFmtId="164" fontId="33" fillId="9" borderId="0" xfId="0" applyFont="true" applyBorder="false" applyAlignment="true" applyProtection="true">
      <alignment horizontal="center" vertical="bottom" textRotation="0" wrapText="false" indent="0" shrinkToFit="false"/>
      <protection locked="true" hidden="false"/>
    </xf>
    <xf numFmtId="165" fontId="33" fillId="9" borderId="0" xfId="0" applyFont="true" applyBorder="false" applyAlignment="true" applyProtection="true">
      <alignment horizontal="center" vertical="bottom" textRotation="0" wrapText="false" indent="0" shrinkToFit="false"/>
      <protection locked="true" hidden="false"/>
    </xf>
    <xf numFmtId="164" fontId="33" fillId="6" borderId="0" xfId="0" applyFont="true" applyBorder="false" applyAlignment="true" applyProtection="true">
      <alignment horizontal="general" vertical="bottom" textRotation="0" wrapText="false" indent="0" shrinkToFit="false"/>
      <protection locked="true" hidden="false"/>
    </xf>
    <xf numFmtId="164" fontId="34" fillId="6" borderId="20" xfId="0" applyFont="true" applyBorder="true" applyAlignment="true" applyProtection="true">
      <alignment horizontal="general" vertical="bottom" textRotation="0" wrapText="false" indent="0" shrinkToFit="false"/>
      <protection locked="true" hidden="false"/>
    </xf>
    <xf numFmtId="164" fontId="0" fillId="6" borderId="20" xfId="0" applyFont="false" applyBorder="true" applyAlignment="false" applyProtection="true">
      <alignment horizontal="general" vertical="bottom" textRotation="0" wrapText="false" indent="0" shrinkToFit="false"/>
      <protection locked="true" hidden="false"/>
    </xf>
    <xf numFmtId="164" fontId="35" fillId="10" borderId="20" xfId="0" applyFont="true" applyBorder="true" applyAlignment="true" applyProtection="false">
      <alignment horizontal="left" vertical="bottom" textRotation="0" wrapText="false" indent="0" shrinkToFit="false"/>
      <protection locked="true" hidden="false"/>
    </xf>
    <xf numFmtId="164" fontId="36" fillId="10" borderId="20" xfId="0" applyFont="true" applyBorder="true" applyAlignment="true" applyProtection="false">
      <alignment horizontal="general" vertical="bottom" textRotation="0" wrapText="false" indent="0" shrinkToFit="false"/>
      <protection locked="true" hidden="false"/>
    </xf>
    <xf numFmtId="164" fontId="35" fillId="10" borderId="22" xfId="0" applyFont="true" applyBorder="true" applyAlignment="true" applyProtection="false">
      <alignment horizontal="left" vertical="bottom" textRotation="0" wrapText="false" indent="0" shrinkToFit="false"/>
      <protection locked="true" hidden="false"/>
    </xf>
    <xf numFmtId="164" fontId="36" fillId="10" borderId="22" xfId="0" applyFont="true" applyBorder="true" applyAlignment="true" applyProtection="false">
      <alignment horizontal="general" vertical="bottom" textRotation="0" wrapText="false" indent="0" shrinkToFit="false"/>
      <protection locked="true" hidden="false"/>
    </xf>
    <xf numFmtId="164" fontId="37" fillId="8" borderId="23" xfId="0" applyFont="true" applyBorder="true" applyAlignment="true" applyProtection="false">
      <alignment horizontal="general" vertical="bottom" textRotation="0" wrapText="false" indent="0" shrinkToFit="false"/>
      <protection locked="true" hidden="false"/>
    </xf>
    <xf numFmtId="164" fontId="32" fillId="0" borderId="22" xfId="0" applyFont="true" applyBorder="true" applyAlignment="true" applyProtection="false">
      <alignment horizontal="general" vertical="bottom" textRotation="0" wrapText="false" indent="0" shrinkToFit="false"/>
      <protection locked="true" hidden="false"/>
    </xf>
    <xf numFmtId="164" fontId="33" fillId="9" borderId="11" xfId="0" applyFont="true" applyBorder="true" applyAlignment="true" applyProtection="false">
      <alignment horizontal="center" vertical="bottom" textRotation="0" wrapText="false" indent="0" shrinkToFit="false"/>
      <protection locked="true" hidden="false"/>
    </xf>
    <xf numFmtId="165" fontId="33" fillId="9" borderId="11" xfId="0" applyFont="true" applyBorder="true" applyAlignment="true" applyProtection="false">
      <alignment horizontal="center" vertical="bottom" textRotation="0" wrapText="false" indent="0" shrinkToFit="false"/>
      <protection locked="true" hidden="false"/>
    </xf>
    <xf numFmtId="164" fontId="33" fillId="6" borderId="11" xfId="0" applyFont="true" applyBorder="true" applyAlignment="true" applyProtection="false">
      <alignment horizontal="general" vertical="bottom" textRotation="0" wrapText="false" indent="0" shrinkToFit="false"/>
      <protection locked="true" hidden="false"/>
    </xf>
    <xf numFmtId="164" fontId="34" fillId="6" borderId="22" xfId="0" applyFont="true" applyBorder="tru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58"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8" borderId="24" xfId="0" applyFont="true" applyBorder="true" applyAlignment="false" applyProtection="false">
      <alignment horizontal="general" vertical="bottom" textRotation="0" wrapText="false" indent="0" shrinkToFit="false"/>
      <protection locked="true" hidden="false"/>
    </xf>
    <xf numFmtId="164" fontId="0" fillId="8" borderId="25" xfId="0" applyFont="false" applyBorder="true" applyAlignment="false" applyProtection="false">
      <alignment horizontal="general" vertical="bottom" textRotation="0" wrapText="false" indent="0" shrinkToFit="false"/>
      <protection locked="true" hidden="false"/>
    </xf>
    <xf numFmtId="164" fontId="26" fillId="8" borderId="26" xfId="0" applyFont="true" applyBorder="true" applyAlignment="true" applyProtection="false">
      <alignment horizontal="center" vertical="bottom" textRotation="0" wrapText="false" indent="0" shrinkToFit="false"/>
      <protection locked="true" hidden="false"/>
    </xf>
    <xf numFmtId="164" fontId="0" fillId="8" borderId="26"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false" applyProtection="false">
      <alignment horizontal="general" vertical="bottom" textRotation="0" wrapText="false" indent="0" shrinkToFit="false"/>
      <protection locked="true" hidden="false"/>
    </xf>
    <xf numFmtId="164" fontId="0" fillId="8" borderId="28" xfId="0" applyFont="true" applyBorder="true" applyAlignment="false" applyProtection="false">
      <alignment horizontal="general" vertical="bottom" textRotation="0" wrapText="false" indent="0" shrinkToFit="false"/>
      <protection locked="true" hidden="false"/>
    </xf>
    <xf numFmtId="168" fontId="0" fillId="8" borderId="28" xfId="0" applyFont="true" applyBorder="true" applyAlignment="true" applyProtection="false">
      <alignment horizontal="center" vertical="bottom" textRotation="0" wrapText="false" indent="0" shrinkToFit="false"/>
      <protection locked="true" hidden="false"/>
    </xf>
    <xf numFmtId="164" fontId="26" fillId="8" borderId="29"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true" applyProtection="false">
      <alignment horizontal="center" vertical="bottom" textRotation="0" wrapText="false" indent="0" shrinkToFit="false"/>
      <protection locked="true" hidden="false"/>
    </xf>
    <xf numFmtId="164" fontId="0" fillId="8" borderId="30" xfId="0" applyFont="true" applyBorder="true" applyAlignment="true" applyProtection="false">
      <alignment horizontal="center" vertical="bottom" textRotation="0" wrapText="false" indent="0" shrinkToFit="false"/>
      <protection locked="true" hidden="false"/>
    </xf>
    <xf numFmtId="164" fontId="0" fillId="8" borderId="27" xfId="0" applyFont="false" applyBorder="true" applyAlignment="true" applyProtection="false">
      <alignment horizontal="center" vertical="bottom" textRotation="0" wrapText="false" indent="0" shrinkToFit="false"/>
      <protection locked="true" hidden="false"/>
    </xf>
    <xf numFmtId="164" fontId="0" fillId="8" borderId="28" xfId="0" applyFont="false" applyBorder="true" applyAlignment="true" applyProtection="false">
      <alignment horizontal="center" vertical="bottom" textRotation="0" wrapText="false" indent="0" shrinkToFit="false"/>
      <protection locked="true" hidden="false"/>
    </xf>
    <xf numFmtId="164" fontId="0" fillId="8" borderId="30" xfId="0" applyFont="false" applyBorder="true" applyAlignment="true" applyProtection="false">
      <alignment horizontal="center" vertical="bottom" textRotation="0" wrapText="false" indent="0" shrinkToFit="false"/>
      <protection locked="true" hidden="false"/>
    </xf>
    <xf numFmtId="164" fontId="0" fillId="8" borderId="28" xfId="0" applyFont="true" applyBorder="true" applyAlignment="true" applyProtection="false">
      <alignment horizontal="center" vertical="bottom" textRotation="0" wrapText="false" indent="0" shrinkToFit="false"/>
      <protection locked="true" hidden="false"/>
    </xf>
    <xf numFmtId="164" fontId="0" fillId="8" borderId="29" xfId="0" applyFont="true" applyBorder="true" applyAlignment="true" applyProtection="false">
      <alignment horizontal="center" vertical="bottom" textRotation="0" wrapText="false" indent="0" shrinkToFit="false"/>
      <protection locked="true" hidden="false"/>
    </xf>
    <xf numFmtId="164" fontId="26" fillId="0" borderId="31" xfId="0" applyFont="true" applyBorder="true" applyAlignment="false" applyProtection="true">
      <alignment horizontal="general" vertical="bottom" textRotation="0" wrapText="false" indent="0" shrinkToFit="false"/>
      <protection locked="false" hidden="false"/>
    </xf>
    <xf numFmtId="164" fontId="0" fillId="0" borderId="32" xfId="0" applyFont="false" applyBorder="true" applyAlignment="false" applyProtection="true">
      <alignment horizontal="general" vertical="bottom" textRotation="0" wrapText="false" indent="0" shrinkToFit="false"/>
      <protection locked="false" hidden="false"/>
    </xf>
    <xf numFmtId="168" fontId="0" fillId="0" borderId="32" xfId="0" applyFont="false" applyBorder="true" applyAlignment="false" applyProtection="true">
      <alignment horizontal="general" vertical="bottom" textRotation="0" wrapText="false" indent="0" shrinkToFit="false"/>
      <protection locked="false" hidden="false"/>
    </xf>
    <xf numFmtId="169" fontId="26" fillId="0" borderId="33" xfId="0" applyFont="tru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69" fontId="0" fillId="0" borderId="32"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1" fontId="0" fillId="0" borderId="31" xfId="0" applyFont="false" applyBorder="true" applyAlignment="false" applyProtection="true">
      <alignment horizontal="general"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false" applyProtection="true">
      <alignment horizontal="general" vertical="bottom" textRotation="0" wrapText="false" indent="0" shrinkToFit="false"/>
      <protection locked="false" hidden="false"/>
    </xf>
    <xf numFmtId="164" fontId="26" fillId="0" borderId="35" xfId="0" applyFont="true" applyBorder="true" applyAlignment="false" applyProtection="true">
      <alignment horizontal="general" vertical="bottom" textRotation="0" wrapText="false" indent="0" shrinkToFit="false"/>
      <protection locked="false" hidden="false"/>
    </xf>
    <xf numFmtId="164" fontId="0" fillId="0" borderId="36" xfId="0" applyFont="false" applyBorder="true" applyAlignment="false" applyProtection="true">
      <alignment horizontal="general" vertical="bottom" textRotation="0" wrapText="false" indent="0" shrinkToFit="false"/>
      <protection locked="false" hidden="false"/>
    </xf>
    <xf numFmtId="168" fontId="0" fillId="0" borderId="36" xfId="0" applyFont="false" applyBorder="true" applyAlignment="false" applyProtection="true">
      <alignment horizontal="general" vertical="bottom" textRotation="0" wrapText="false" indent="0" shrinkToFit="false"/>
      <protection locked="false" hidden="false"/>
    </xf>
    <xf numFmtId="169" fontId="26" fillId="0" borderId="37" xfId="0" applyFont="tru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true" applyProtection="true">
      <alignment horizontal="right"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71" fontId="0" fillId="0" borderId="35"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2" shrinkToFit="false"/>
      <protection locked="true" hidden="false"/>
    </xf>
    <xf numFmtId="164" fontId="68" fillId="11"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68" fillId="11"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general" vertical="bottom" textRotation="0" wrapText="false" indent="0" shrinkToFit="false"/>
      <protection locked="true" hidden="false"/>
    </xf>
    <xf numFmtId="164" fontId="70" fillId="11"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11" borderId="19" xfId="0" applyFont="true" applyBorder="true" applyAlignment="true" applyProtection="false">
      <alignment horizontal="general"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1" shrinkToFit="false"/>
      <protection locked="true" hidden="false"/>
    </xf>
    <xf numFmtId="164" fontId="68" fillId="11" borderId="0" xfId="0" applyFont="true" applyBorder="true" applyAlignment="true" applyProtection="false">
      <alignment horizontal="center" vertical="bottom" textRotation="0" wrapText="false" indent="0" shrinkToFit="false"/>
      <protection locked="true" hidden="false"/>
    </xf>
    <xf numFmtId="164" fontId="68" fillId="11"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72"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8" fillId="11" borderId="11" xfId="0" applyFont="true" applyBorder="true" applyAlignment="false" applyProtection="false">
      <alignment horizontal="general" vertical="bottom" textRotation="0" wrapText="false" indent="0" shrinkToFit="false"/>
      <protection locked="true" hidden="false"/>
    </xf>
    <xf numFmtId="164" fontId="68" fillId="11" borderId="2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12"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5" fillId="2" borderId="40" xfId="0" applyFont="true" applyBorder="true" applyAlignment="true" applyProtection="true">
      <alignment horizontal="right" vertical="bottom" textRotation="0" wrapText="false" indent="0" shrinkToFit="false"/>
      <protection locked="true" hidden="true"/>
    </xf>
    <xf numFmtId="164" fontId="85" fillId="11" borderId="9" xfId="0" applyFont="true" applyBorder="true" applyAlignment="true" applyProtection="true">
      <alignment horizontal="right"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6"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2" fillId="12"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2"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5"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12" borderId="25"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5"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8" borderId="28" xfId="0" applyFont="true" applyBorder="true" applyAlignment="true" applyProtection="true">
      <alignment horizontal="left" vertical="bottom" textRotation="0" wrapText="false" indent="0" shrinkToFit="false"/>
      <protection locked="true" hidden="true"/>
    </xf>
    <xf numFmtId="164" fontId="26" fillId="8" borderId="28" xfId="0" applyFont="true" applyBorder="true" applyAlignment="false" applyProtection="true">
      <alignment horizontal="general" vertical="bottom" textRotation="0" wrapText="false" indent="0" shrinkToFit="false"/>
      <protection locked="true" hidden="true"/>
    </xf>
    <xf numFmtId="164" fontId="26" fillId="12" borderId="28" xfId="0" applyFont="true" applyBorder="true" applyAlignment="false" applyProtection="true">
      <alignment horizontal="general" vertical="bottom" textRotation="0" wrapText="false" indent="0" shrinkToFit="false"/>
      <protection locked="true" hidden="true"/>
    </xf>
    <xf numFmtId="164" fontId="87" fillId="13" borderId="48" xfId="0" applyFont="true" applyBorder="true" applyAlignment="false" applyProtection="true">
      <alignment horizontal="general" vertical="bottom" textRotation="0" wrapText="false" indent="0" shrinkToFit="false"/>
      <protection locked="true" hidden="true"/>
    </xf>
    <xf numFmtId="164" fontId="0" fillId="13" borderId="49" xfId="0" applyFont="false" applyBorder="true" applyAlignment="false" applyProtection="true">
      <alignment horizontal="general" vertical="bottom" textRotation="0" wrapText="false" indent="0" shrinkToFit="false"/>
      <protection locked="true" hidden="true"/>
    </xf>
    <xf numFmtId="164" fontId="0" fillId="13" borderId="50" xfId="0" applyFont="false" applyBorder="true" applyAlignment="false" applyProtection="true">
      <alignment horizontal="general" vertical="bottom" textRotation="0" wrapText="false" indent="0" shrinkToFit="false"/>
      <protection locked="true" hidden="true"/>
    </xf>
    <xf numFmtId="164" fontId="58" fillId="13" borderId="50" xfId="0" applyFont="true" applyBorder="true" applyAlignment="false" applyProtection="true">
      <alignment horizontal="general" vertical="bottom" textRotation="0" wrapText="false" indent="0" shrinkToFit="false"/>
      <protection locked="true" hidden="true"/>
    </xf>
    <xf numFmtId="164" fontId="58" fillId="11" borderId="51" xfId="0" applyFont="true" applyBorder="true" applyAlignment="false" applyProtection="true">
      <alignment horizontal="general" vertical="bottom" textRotation="0" wrapText="false" indent="0" shrinkToFit="false"/>
      <protection locked="true" hidden="true"/>
    </xf>
    <xf numFmtId="164" fontId="86" fillId="4" borderId="45" xfId="0" applyFont="true" applyBorder="true" applyAlignment="true" applyProtection="true">
      <alignment horizontal="center" vertical="bottom" textRotation="0" wrapText="false" indent="0" shrinkToFit="false"/>
      <protection locked="true" hidden="true"/>
    </xf>
    <xf numFmtId="164" fontId="20" fillId="10" borderId="52" xfId="0" applyFont="true" applyBorder="true" applyAlignment="false" applyProtection="true">
      <alignment horizontal="general" vertical="bottom" textRotation="0" wrapText="false" indent="0" shrinkToFit="false"/>
      <protection locked="true" hidden="true"/>
    </xf>
    <xf numFmtId="164" fontId="26" fillId="10" borderId="53" xfId="0" applyFont="true" applyBorder="true" applyAlignment="true" applyProtection="true">
      <alignment horizontal="center" vertical="bottom" textRotation="0" wrapText="false" indent="0" shrinkToFit="false"/>
      <protection locked="true" hidden="true"/>
    </xf>
    <xf numFmtId="164" fontId="26" fillId="10" borderId="29"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64" fontId="26" fillId="10" borderId="4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3" borderId="54" xfId="0" applyFont="true" applyBorder="true" applyAlignment="true" applyProtection="true">
      <alignment horizontal="left" vertical="bottom" textRotation="0" wrapText="false" indent="0" shrinkToFit="false"/>
      <protection locked="true" hidden="true"/>
    </xf>
    <xf numFmtId="164" fontId="26" fillId="13" borderId="55" xfId="0" applyFont="true" applyBorder="true" applyAlignment="true" applyProtection="true">
      <alignment horizontal="center" vertical="bottom" textRotation="0" wrapText="false" indent="0" shrinkToFit="false"/>
      <protection locked="true" hidden="true"/>
    </xf>
    <xf numFmtId="164" fontId="88" fillId="13" borderId="55" xfId="0" applyFont="true" applyBorder="true" applyAlignment="true" applyProtection="true">
      <alignment horizontal="center" vertical="bottom" textRotation="0" wrapText="false" indent="0" shrinkToFit="false"/>
      <protection locked="true" hidden="true"/>
    </xf>
    <xf numFmtId="172" fontId="27" fillId="13" borderId="56" xfId="0" applyFont="true" applyBorder="true" applyAlignment="true" applyProtection="true">
      <alignment horizontal="left" vertical="top" textRotation="0" wrapText="false" indent="0" shrinkToFit="false"/>
      <protection locked="true" hidden="true"/>
    </xf>
    <xf numFmtId="172" fontId="27" fillId="13" borderId="57" xfId="0" applyFont="true" applyBorder="true" applyAlignment="true" applyProtection="true">
      <alignment horizontal="left" vertical="top" textRotation="0" wrapText="false" indent="0" shrinkToFit="false"/>
      <protection locked="true" hidden="true"/>
    </xf>
    <xf numFmtId="172" fontId="59" fillId="13" borderId="49" xfId="0" applyFont="true" applyBorder="true" applyAlignment="true" applyProtection="true">
      <alignment horizontal="left" vertical="top" textRotation="0" wrapText="false" indent="0" shrinkToFit="false"/>
      <protection locked="true" hidden="true"/>
    </xf>
    <xf numFmtId="172" fontId="20" fillId="13" borderId="49" xfId="0" applyFont="true" applyBorder="true" applyAlignment="true" applyProtection="true">
      <alignment horizontal="center" vertical="top" textRotation="0" wrapText="false" indent="0" shrinkToFit="false"/>
      <protection locked="true" hidden="true"/>
    </xf>
    <xf numFmtId="172" fontId="59" fillId="11" borderId="51" xfId="0" applyFont="true" applyBorder="true" applyAlignment="true" applyProtection="true">
      <alignment horizontal="left" vertical="top" textRotation="0" wrapText="false" indent="0" shrinkToFit="false"/>
      <protection locked="true" hidden="true"/>
    </xf>
    <xf numFmtId="164" fontId="26" fillId="5" borderId="30" xfId="0" applyFont="true" applyBorder="true" applyAlignment="true" applyProtection="true">
      <alignment horizontal="center" vertical="bottom" textRotation="0" wrapText="false" indent="0" shrinkToFit="false"/>
      <protection locked="false" hidden="false"/>
    </xf>
    <xf numFmtId="164" fontId="26" fillId="10" borderId="0" xfId="0" applyFont="true" applyBorder="true" applyAlignment="true" applyProtection="true">
      <alignment horizontal="center" vertical="bottom" textRotation="0" wrapText="false" indent="0" shrinkToFit="false"/>
      <protection locked="true" hidden="true"/>
    </xf>
    <xf numFmtId="164" fontId="58" fillId="13" borderId="58" xfId="0" applyFont="true" applyBorder="true" applyAlignment="true" applyProtection="true">
      <alignment horizontal="left" vertical="bottom" textRotation="0" wrapText="false" indent="0" shrinkToFit="false"/>
      <protection locked="true" hidden="true"/>
    </xf>
    <xf numFmtId="164" fontId="26" fillId="13" borderId="59" xfId="0" applyFont="true" applyBorder="true" applyAlignment="true" applyProtection="true">
      <alignment horizontal="center" vertical="bottom" textRotation="0" wrapText="false" indent="0" shrinkToFit="false"/>
      <protection locked="true" hidden="true"/>
    </xf>
    <xf numFmtId="164" fontId="0" fillId="13" borderId="59" xfId="0" applyFont="false" applyBorder="true" applyAlignment="false" applyProtection="true">
      <alignment horizontal="general" vertical="bottom" textRotation="0" wrapText="false" indent="0" shrinkToFit="false"/>
      <protection locked="true" hidden="true"/>
    </xf>
    <xf numFmtId="164" fontId="18" fillId="13" borderId="60" xfId="0" applyFont="true" applyBorder="true" applyAlignment="true" applyProtection="true">
      <alignment horizontal="left" vertical="bottom" textRotation="0" wrapText="false" indent="0" shrinkToFit="false"/>
      <protection locked="true" hidden="true"/>
    </xf>
    <xf numFmtId="164" fontId="26" fillId="13" borderId="61" xfId="0" applyFont="true" applyBorder="true" applyAlignment="true" applyProtection="true">
      <alignment horizontal="right" vertical="top" textRotation="0" wrapText="false" indent="0" shrinkToFit="false"/>
      <protection locked="true" hidden="true"/>
    </xf>
    <xf numFmtId="164" fontId="89" fillId="13" borderId="62" xfId="0" applyFont="true" applyBorder="true" applyAlignment="true" applyProtection="true">
      <alignment horizontal="center" vertical="top" textRotation="0" wrapText="false" indent="0" shrinkToFit="false"/>
      <protection locked="true" hidden="true"/>
    </xf>
    <xf numFmtId="164" fontId="89" fillId="11" borderId="51" xfId="0" applyFont="true" applyBorder="true" applyAlignment="true" applyProtection="true">
      <alignment horizontal="center" vertical="top" textRotation="0" wrapText="false" indent="0" shrinkToFit="false"/>
      <protection locked="true" hidden="true"/>
    </xf>
    <xf numFmtId="164" fontId="90" fillId="10"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12"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true" hidden="true"/>
    </xf>
    <xf numFmtId="164" fontId="20" fillId="13" borderId="0" xfId="0" applyFont="true" applyBorder="true" applyAlignment="true" applyProtection="true">
      <alignment horizontal="center" vertical="bottom" textRotation="0" wrapText="false" indent="0" shrinkToFit="false"/>
      <protection locked="true" hidden="true"/>
    </xf>
    <xf numFmtId="164" fontId="91" fillId="13" borderId="0" xfId="0" applyFont="true" applyBorder="true" applyAlignment="true" applyProtection="true">
      <alignment horizontal="center" vertical="bottom" textRotation="90" wrapText="false" indent="0" shrinkToFit="false"/>
      <protection locked="true" hidden="true"/>
    </xf>
    <xf numFmtId="164" fontId="59" fillId="13" borderId="0" xfId="0" applyFont="true" applyBorder="true" applyAlignment="true" applyProtection="true">
      <alignment horizontal="right" vertical="bottom" textRotation="0" wrapText="false" indent="0" shrinkToFit="false"/>
      <protection locked="true" hidden="true"/>
    </xf>
    <xf numFmtId="164" fontId="92" fillId="13" borderId="27" xfId="0" applyFont="true" applyBorder="true" applyAlignment="true" applyProtection="true">
      <alignment horizontal="left" vertical="top" textRotation="0" wrapText="false" indent="0" shrinkToFit="false"/>
      <protection locked="true" hidden="true"/>
    </xf>
    <xf numFmtId="164" fontId="93" fillId="13" borderId="28" xfId="0" applyFont="true" applyBorder="true" applyAlignment="true" applyProtection="true">
      <alignment horizontal="left" vertical="top" textRotation="0" wrapText="false" indent="0" shrinkToFit="false"/>
      <protection locked="true" hidden="true"/>
    </xf>
    <xf numFmtId="164" fontId="93" fillId="11" borderId="51" xfId="0" applyFont="true" applyBorder="true" applyAlignment="true" applyProtection="true">
      <alignment horizontal="left" vertical="top" textRotation="0" wrapText="false" indent="0" shrinkToFit="false"/>
      <protection locked="true" hidden="true"/>
    </xf>
    <xf numFmtId="164" fontId="26" fillId="10" borderId="39" xfId="0" applyFont="true" applyBorder="true" applyAlignment="true" applyProtection="true">
      <alignment horizontal="center" vertical="bottom" textRotation="0" wrapText="false" indent="0" shrinkToFit="false"/>
      <protection locked="true" hidden="true"/>
    </xf>
    <xf numFmtId="164" fontId="59" fillId="8" borderId="0" xfId="0" applyFont="true" applyBorder="false" applyAlignment="true" applyProtection="true">
      <alignment horizontal="left" vertical="bottom" textRotation="0" wrapText="false" indent="0" shrinkToFit="false"/>
      <protection locked="true" hidden="true"/>
    </xf>
    <xf numFmtId="164" fontId="59" fillId="8" borderId="0" xfId="0" applyFont="true" applyBorder="false" applyAlignment="true" applyProtection="true">
      <alignment horizontal="right" vertical="bottom" textRotation="0" wrapText="false" indent="0" shrinkToFit="false"/>
      <protection locked="true" hidden="true"/>
    </xf>
    <xf numFmtId="164" fontId="20" fillId="12" borderId="0" xfId="0" applyFont="true" applyBorder="false" applyAlignment="true" applyProtection="true">
      <alignment horizontal="center" vertical="bottom" textRotation="0" wrapText="false" indent="0" shrinkToFit="false"/>
      <protection locked="true" hidden="true"/>
    </xf>
    <xf numFmtId="164" fontId="57" fillId="13" borderId="63" xfId="0" applyFont="true" applyBorder="true" applyAlignment="true" applyProtection="true">
      <alignment horizontal="right" vertical="top" textRotation="0" wrapText="false" indent="0" shrinkToFit="false"/>
      <protection locked="true" hidden="true"/>
    </xf>
    <xf numFmtId="171" fontId="20" fillId="13" borderId="0" xfId="0" applyFont="true" applyBorder="true" applyAlignment="true" applyProtection="true">
      <alignment horizontal="left" vertical="top" textRotation="0" wrapText="false" indent="0" shrinkToFit="false"/>
      <protection locked="true" hidden="true"/>
    </xf>
    <xf numFmtId="171" fontId="20" fillId="11"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12" borderId="40" xfId="0" applyFont="true" applyBorder="true" applyAlignment="true" applyProtection="true">
      <alignment horizontal="center" vertical="bottom" textRotation="0" wrapText="false" indent="0" shrinkToFit="false"/>
      <protection locked="true" hidden="true"/>
    </xf>
    <xf numFmtId="172" fontId="22" fillId="8" borderId="40"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12" borderId="40" xfId="0" applyFont="true" applyBorder="true" applyAlignment="true" applyProtection="true">
      <alignment horizontal="center" vertical="bottom" textRotation="0" wrapText="false" indent="0" shrinkToFit="false"/>
      <protection locked="true" hidden="true"/>
    </xf>
    <xf numFmtId="164" fontId="26" fillId="13" borderId="51" xfId="0" applyFont="true" applyBorder="true" applyAlignment="true" applyProtection="true">
      <alignment horizontal="center" vertical="bottom" textRotation="0" wrapText="false" indent="0" shrinkToFit="false"/>
      <protection locked="true" hidden="true"/>
    </xf>
    <xf numFmtId="164" fontId="26" fillId="13" borderId="0" xfId="0" applyFont="true" applyBorder="true" applyAlignment="true" applyProtection="true">
      <alignment horizontal="center" vertical="bottom" textRotation="0" wrapText="false" indent="0" shrinkToFit="false"/>
      <protection locked="true" hidden="true"/>
    </xf>
    <xf numFmtId="172" fontId="20" fillId="13"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4" fillId="10" borderId="52" xfId="0" applyFont="true" applyBorder="true" applyAlignment="false" applyProtection="true">
      <alignment horizontal="general" vertical="bottom" textRotation="0" wrapText="false" indent="0" shrinkToFit="false"/>
      <protection locked="true" hidden="true"/>
    </xf>
    <xf numFmtId="172" fontId="20" fillId="14" borderId="43" xfId="0" applyFont="true" applyBorder="true" applyAlignment="true" applyProtection="true">
      <alignment horizontal="center" vertical="bottom" textRotation="0" wrapText="false" indent="0" shrinkToFit="false"/>
      <protection locked="false" hidden="false"/>
    </xf>
    <xf numFmtId="172" fontId="20" fillId="14" borderId="17" xfId="0" applyFont="true" applyBorder="true" applyAlignment="true" applyProtection="true">
      <alignment horizontal="center" vertical="bottom" textRotation="0" wrapText="false" indent="0" shrinkToFit="false"/>
      <protection locked="false" hidden="false"/>
    </xf>
    <xf numFmtId="175" fontId="20" fillId="12" borderId="40" xfId="0" applyFont="true" applyBorder="true" applyAlignment="true" applyProtection="true">
      <alignment horizontal="center" vertical="bottom" textRotation="0" wrapText="false" indent="0" shrinkToFit="false"/>
      <protection locked="true" hidden="true"/>
    </xf>
    <xf numFmtId="164" fontId="20" fillId="12" borderId="40" xfId="0" applyFont="true" applyBorder="true" applyAlignment="true" applyProtection="true">
      <alignment horizontal="center" vertical="bottom" textRotation="0" wrapText="false" indent="0" shrinkToFit="false"/>
      <protection locked="true" hidden="true"/>
    </xf>
    <xf numFmtId="164" fontId="20" fillId="13" borderId="66" xfId="0" applyFont="true" applyBorder="true" applyAlignment="true" applyProtection="true">
      <alignment horizontal="center" vertical="bottom" textRotation="0" wrapText="false" indent="0" shrinkToFit="false"/>
      <protection locked="true" hidden="true"/>
    </xf>
    <xf numFmtId="172" fontId="58" fillId="13" borderId="40" xfId="0" applyFont="true" applyBorder="true" applyAlignment="true" applyProtection="true">
      <alignment horizontal="left" vertical="bottom" textRotation="0" wrapText="false" indent="0" shrinkToFit="false"/>
      <protection locked="true" hidden="true"/>
    </xf>
    <xf numFmtId="172" fontId="20" fillId="13" borderId="43" xfId="0" applyFont="true" applyBorder="true" applyAlignment="true" applyProtection="true">
      <alignment horizontal="center" vertical="bottom" textRotation="0" wrapText="false" indent="0" shrinkToFit="false"/>
      <protection locked="true" hidden="true"/>
    </xf>
    <xf numFmtId="164" fontId="57" fillId="13" borderId="0"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left" vertical="top" textRotation="0" wrapText="false" indent="0" shrinkToFit="false"/>
      <protection locked="true" hidden="true"/>
    </xf>
    <xf numFmtId="164" fontId="59" fillId="10" borderId="67" xfId="0" applyFont="true" applyBorder="true" applyAlignment="false" applyProtection="true">
      <alignment horizontal="general" vertical="bottom" textRotation="0" wrapText="false" indent="0" shrinkToFit="false"/>
      <protection locked="true" hidden="true"/>
    </xf>
    <xf numFmtId="172" fontId="20" fillId="14" borderId="68" xfId="0" applyFont="true" applyBorder="true" applyAlignment="true" applyProtection="true">
      <alignment horizontal="center" vertical="bottom" textRotation="0" wrapText="false" indent="0" shrinkToFit="false"/>
      <protection locked="false" hidden="false"/>
    </xf>
    <xf numFmtId="172" fontId="20" fillId="14" borderId="69" xfId="0" applyFont="true" applyBorder="true" applyAlignment="true" applyProtection="true">
      <alignment horizontal="center" vertical="bottom" textRotation="0" wrapText="false" indent="0" shrinkToFit="false"/>
      <protection locked="false" hidden="false"/>
    </xf>
    <xf numFmtId="175" fontId="20" fillId="12" borderId="0" xfId="0" applyFont="true" applyBorder="true" applyAlignment="true" applyProtection="true">
      <alignment horizontal="center" vertical="bottom" textRotation="0" wrapText="false" indent="0" shrinkToFit="false"/>
      <protection locked="true" hidden="true"/>
    </xf>
    <xf numFmtId="172" fontId="43" fillId="8" borderId="0" xfId="0" applyFont="true" applyBorder="false" applyAlignment="false" applyProtection="true">
      <alignment horizontal="general" vertical="bottom" textRotation="0" wrapText="false" indent="0" shrinkToFit="false"/>
      <protection locked="true" hidden="true"/>
    </xf>
    <xf numFmtId="175" fontId="43" fillId="8" borderId="0" xfId="0" applyFont="true" applyBorder="true" applyAlignment="false" applyProtection="true">
      <alignment horizontal="general" vertical="bottom" textRotation="0" wrapText="false" indent="0" shrinkToFit="false"/>
      <protection locked="true" hidden="true"/>
    </xf>
    <xf numFmtId="165" fontId="20" fillId="13" borderId="70" xfId="0" applyFont="true" applyBorder="true" applyAlignment="true" applyProtection="true">
      <alignment horizontal="center" vertical="bottom" textRotation="0" wrapText="false" indent="0" shrinkToFit="false"/>
      <protection locked="true" hidden="true"/>
    </xf>
    <xf numFmtId="176" fontId="20" fillId="13" borderId="0" xfId="0" applyFont="true" applyBorder="true" applyAlignment="true" applyProtection="true">
      <alignment horizontal="center" vertical="bottom" textRotation="0" wrapText="false" indent="0" shrinkToFit="false"/>
      <protection locked="true" hidden="true"/>
    </xf>
    <xf numFmtId="165" fontId="20" fillId="13" borderId="21" xfId="0" applyFont="true" applyBorder="true" applyAlignment="true" applyProtection="true">
      <alignment horizontal="left" vertical="bottom" textRotation="0" wrapText="false" indent="0" shrinkToFit="false"/>
      <protection locked="true" hidden="true"/>
    </xf>
    <xf numFmtId="164" fontId="59" fillId="10" borderId="71" xfId="0" applyFont="true" applyBorder="true" applyAlignment="false" applyProtection="true">
      <alignment horizontal="general" vertical="bottom" textRotation="0" wrapText="false" indent="0" shrinkToFit="false"/>
      <protection locked="true" hidden="true"/>
    </xf>
    <xf numFmtId="172" fontId="20" fillId="14" borderId="72" xfId="0" applyFont="true" applyBorder="true" applyAlignment="true" applyProtection="true">
      <alignment horizontal="center" vertical="bottom" textRotation="0" wrapText="false" indent="0" shrinkToFit="false"/>
      <protection locked="false" hidden="false"/>
    </xf>
    <xf numFmtId="172" fontId="20" fillId="14" borderId="33" xfId="0" applyFont="true" applyBorder="true" applyAlignment="true" applyProtection="true">
      <alignment horizontal="center" vertical="bottom" textRotation="0" wrapText="false" indent="0" shrinkToFit="false"/>
      <protection locked="false" hidden="false"/>
    </xf>
    <xf numFmtId="175" fontId="43" fillId="8" borderId="0" xfId="0" applyFont="true" applyBorder="false" applyAlignment="false" applyProtection="true">
      <alignment horizontal="general" vertical="bottom" textRotation="0" wrapText="false" indent="0" shrinkToFit="false"/>
      <protection locked="true" hidden="true"/>
    </xf>
    <xf numFmtId="165" fontId="20" fillId="13" borderId="51" xfId="0" applyFont="true" applyBorder="true" applyAlignment="true" applyProtection="true">
      <alignment horizontal="center" vertical="bottom" textRotation="0" wrapText="false" indent="0" shrinkToFit="false"/>
      <protection locked="true" hidden="true"/>
    </xf>
    <xf numFmtId="165" fontId="20" fillId="13" borderId="0" xfId="0" applyFont="true" applyBorder="true" applyAlignment="true" applyProtection="true">
      <alignment horizontal="left" vertical="bottom" textRotation="0" wrapText="false" indent="0" shrinkToFit="false"/>
      <protection locked="true" hidden="true"/>
    </xf>
    <xf numFmtId="164" fontId="92" fillId="13" borderId="39" xfId="0" applyFont="true" applyBorder="true" applyAlignment="true" applyProtection="true">
      <alignment horizontal="left" vertical="top" textRotation="0" wrapText="false" indent="0" shrinkToFit="false"/>
      <protection locked="true" hidden="true"/>
    </xf>
    <xf numFmtId="164" fontId="58" fillId="13" borderId="40" xfId="0" applyFont="true" applyBorder="true" applyAlignment="true" applyProtection="true">
      <alignment horizontal="left" vertical="top" textRotation="0" wrapText="false" indent="0" shrinkToFit="false"/>
      <protection locked="true" hidden="true"/>
    </xf>
    <xf numFmtId="164" fontId="93" fillId="13" borderId="40" xfId="0" applyFont="true" applyBorder="true" applyAlignment="true" applyProtection="true">
      <alignment horizontal="left" vertical="top" textRotation="0" wrapText="false" indent="0" shrinkToFit="false"/>
      <protection locked="true" hidden="true"/>
    </xf>
    <xf numFmtId="164" fontId="58" fillId="11" borderId="51" xfId="0" applyFont="true" applyBorder="true" applyAlignment="true" applyProtection="true">
      <alignment horizontal="left" vertical="top" textRotation="0" wrapText="false" indent="0" shrinkToFit="false"/>
      <protection locked="true" hidden="true"/>
    </xf>
    <xf numFmtId="164" fontId="59" fillId="13" borderId="24" xfId="0" applyFont="true" applyBorder="true" applyAlignment="true" applyProtection="true">
      <alignment horizontal="right" vertical="top" textRotation="0" wrapText="false" indent="0" shrinkToFit="false"/>
      <protection locked="true" hidden="true"/>
    </xf>
    <xf numFmtId="176" fontId="20" fillId="13" borderId="25" xfId="0" applyFont="true" applyBorder="true" applyAlignment="true" applyProtection="true">
      <alignment horizontal="right" vertical="top" textRotation="0" wrapText="false" indent="0" shrinkToFit="false"/>
      <protection locked="true" hidden="true"/>
    </xf>
    <xf numFmtId="164" fontId="20" fillId="13" borderId="25"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right" vertical="top" textRotation="0" wrapText="false" indent="0" shrinkToFit="false"/>
      <protection locked="true" hidden="true"/>
    </xf>
    <xf numFmtId="164" fontId="59" fillId="13" borderId="73" xfId="0" applyFont="true" applyBorder="true" applyAlignment="true" applyProtection="true">
      <alignment horizontal="right" vertical="top" textRotation="0" wrapText="false" indent="0" shrinkToFit="false"/>
      <protection locked="true" hidden="true"/>
    </xf>
    <xf numFmtId="176" fontId="20" fillId="13" borderId="74" xfId="0" applyFont="true" applyBorder="true" applyAlignment="true" applyProtection="true">
      <alignment horizontal="right" vertical="top" textRotation="0" wrapText="false" indent="0" shrinkToFit="false"/>
      <protection locked="true" hidden="true"/>
    </xf>
    <xf numFmtId="164" fontId="20" fillId="13" borderId="74" xfId="0" applyFont="true" applyBorder="true" applyAlignment="true" applyProtection="true">
      <alignment horizontal="left" vertical="top" textRotation="0" wrapText="false" indent="0" shrinkToFit="false"/>
      <protection locked="true" hidden="true"/>
    </xf>
    <xf numFmtId="164" fontId="59" fillId="10"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64" fontId="59" fillId="13" borderId="63"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right" vertical="top" textRotation="0" wrapText="false" indent="0" shrinkToFit="false"/>
      <protection locked="true" hidden="true"/>
    </xf>
    <xf numFmtId="164" fontId="20" fillId="13" borderId="0" xfId="0" applyFont="true" applyBorder="true" applyAlignment="true" applyProtection="true">
      <alignment horizontal="left" vertical="top" textRotation="0" wrapText="false" indent="0" shrinkToFit="false"/>
      <protection locked="true" hidden="true"/>
    </xf>
    <xf numFmtId="175" fontId="20" fillId="12" borderId="25" xfId="0" applyFont="true" applyBorder="true" applyAlignment="true" applyProtection="true">
      <alignment horizontal="center" vertical="bottom" textRotation="0" wrapText="false" indent="0" shrinkToFit="false"/>
      <protection locked="true" hidden="true"/>
    </xf>
    <xf numFmtId="172" fontId="43" fillId="8" borderId="25" xfId="0" applyFont="true" applyBorder="true" applyAlignment="false" applyProtection="true">
      <alignment horizontal="general" vertical="bottom" textRotation="0" wrapText="false" indent="0" shrinkToFit="false"/>
      <protection locked="true" hidden="true"/>
    </xf>
    <xf numFmtId="165" fontId="20" fillId="1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59" fillId="10"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37" xfId="0" applyFont="true" applyBorder="true" applyAlignment="true" applyProtection="true">
      <alignment horizontal="center" vertical="bottom" textRotation="0" wrapText="false" indent="0" shrinkToFit="false"/>
      <protection locked="false" hidden="false"/>
    </xf>
    <xf numFmtId="175" fontId="58" fillId="12" borderId="0" xfId="0" applyFont="true" applyBorder="true" applyAlignment="true" applyProtection="true">
      <alignment horizontal="center" vertical="bottom" textRotation="0" wrapText="false" indent="0" shrinkToFit="false"/>
      <protection locked="true" hidden="true"/>
    </xf>
    <xf numFmtId="164" fontId="0" fillId="13" borderId="0" xfId="0" applyFont="false" applyBorder="false" applyAlignment="false" applyProtection="true">
      <alignment horizontal="general" vertical="bottom" textRotation="0" wrapText="false" indent="0" shrinkToFit="false"/>
      <protection locked="true" hidden="true"/>
    </xf>
    <xf numFmtId="164" fontId="0" fillId="11" borderId="51" xfId="0" applyFont="false" applyBorder="true" applyAlignment="false" applyProtection="true">
      <alignment horizontal="general" vertical="bottom" textRotation="0" wrapText="false" indent="0" shrinkToFit="false"/>
      <protection locked="true" hidden="true"/>
    </xf>
    <xf numFmtId="164" fontId="95" fillId="0" borderId="0" xfId="0" applyFont="true" applyBorder="false" applyAlignment="false" applyProtection="true">
      <alignment horizontal="general" vertical="bottom" textRotation="0" wrapText="false" indent="0" shrinkToFit="false"/>
      <protection locked="true" hidden="true"/>
    </xf>
    <xf numFmtId="174" fontId="95" fillId="8" borderId="39" xfId="0" applyFont="true" applyBorder="true" applyAlignment="false" applyProtection="true">
      <alignment horizontal="general" vertical="bottom" textRotation="0" wrapText="false" indent="0" shrinkToFit="false"/>
      <protection locked="true" hidden="true"/>
    </xf>
    <xf numFmtId="164" fontId="95" fillId="8" borderId="40" xfId="0" applyFont="true" applyBorder="true" applyAlignment="true" applyProtection="true">
      <alignment horizontal="center" vertical="bottom" textRotation="0" wrapText="false" indent="0" shrinkToFit="false"/>
      <protection locked="true" hidden="true"/>
    </xf>
    <xf numFmtId="164" fontId="59" fillId="8" borderId="43" xfId="0" applyFont="true" applyBorder="true" applyAlignment="false" applyProtection="true">
      <alignment horizontal="general" vertical="bottom" textRotation="0" wrapText="false" indent="0" shrinkToFit="false"/>
      <protection locked="true" hidden="true"/>
    </xf>
    <xf numFmtId="174" fontId="96" fillId="12" borderId="58" xfId="0" applyFont="true" applyBorder="true" applyAlignment="false" applyProtection="true">
      <alignment horizontal="general" vertical="bottom" textRotation="0" wrapText="false" indent="0" shrinkToFit="false"/>
      <protection locked="true" hidden="true"/>
    </xf>
    <xf numFmtId="174" fontId="90" fillId="12" borderId="58" xfId="0" applyFont="true" applyBorder="true" applyAlignment="false" applyProtection="true">
      <alignment horizontal="general" vertical="bottom" textRotation="0" wrapText="false" indent="0" shrinkToFit="false"/>
      <protection locked="true" hidden="true"/>
    </xf>
    <xf numFmtId="172" fontId="29" fillId="10" borderId="40" xfId="0" applyFont="true" applyBorder="true" applyAlignment="true" applyProtection="true">
      <alignment horizontal="right" vertical="bottom" textRotation="0" wrapText="false" indent="0" shrinkToFit="false"/>
      <protection locked="true" hidden="true"/>
    </xf>
    <xf numFmtId="164" fontId="59" fillId="12" borderId="0" xfId="0" applyFont="true" applyBorder="true" applyAlignment="false" applyProtection="true">
      <alignment horizontal="general" vertical="bottom" textRotation="0" wrapText="false" indent="0" shrinkToFit="false"/>
      <protection locked="true" hidden="true"/>
    </xf>
    <xf numFmtId="164" fontId="0" fillId="13" borderId="58" xfId="0" applyFont="false" applyBorder="true" applyAlignment="false" applyProtection="true">
      <alignment horizontal="general" vertical="bottom" textRotation="0" wrapText="false" indent="0" shrinkToFit="false"/>
      <protection locked="true" hidden="true"/>
    </xf>
    <xf numFmtId="164" fontId="59" fillId="13" borderId="59" xfId="0" applyFont="true" applyBorder="true" applyAlignment="false" applyProtection="true">
      <alignment horizontal="general" vertical="bottom" textRotation="0" wrapText="false" indent="0" shrinkToFit="false"/>
      <protection locked="true" hidden="true"/>
    </xf>
    <xf numFmtId="172" fontId="26" fillId="13" borderId="59" xfId="0" applyFont="true" applyBorder="true" applyAlignment="true" applyProtection="true">
      <alignment horizontal="left" vertical="bottom" textRotation="0" wrapText="false" indent="0" shrinkToFit="false"/>
      <protection locked="true" hidden="true"/>
    </xf>
    <xf numFmtId="172" fontId="26" fillId="13" borderId="80" xfId="0" applyFont="true" applyBorder="true" applyAlignment="true" applyProtection="true">
      <alignment horizontal="left" vertical="bottom" textRotation="0" wrapText="false" indent="0" shrinkToFit="false"/>
      <protection locked="true" hidden="true"/>
    </xf>
    <xf numFmtId="164" fontId="0" fillId="13" borderId="81" xfId="0" applyFont="false" applyBorder="true" applyAlignment="false" applyProtection="true">
      <alignment horizontal="general" vertical="bottom" textRotation="0" wrapText="false" indent="0" shrinkToFit="false"/>
      <protection locked="true" hidden="true"/>
    </xf>
    <xf numFmtId="164" fontId="20" fillId="13" borderId="59" xfId="0" applyFont="true" applyBorder="true" applyAlignment="true" applyProtection="true">
      <alignment horizontal="left" vertical="top" textRotation="0" wrapText="false" indent="0" shrinkToFit="false"/>
      <protection locked="true" hidden="true"/>
    </xf>
    <xf numFmtId="164" fontId="26" fillId="10" borderId="52" xfId="0" applyFont="true" applyBorder="true" applyAlignment="false" applyProtection="true">
      <alignment horizontal="general" vertical="bottom" textRotation="0" wrapText="false" indent="0" shrinkToFit="false"/>
      <protection locked="true" hidden="true"/>
    </xf>
    <xf numFmtId="174" fontId="20" fillId="10" borderId="43" xfId="0" applyFont="true" applyBorder="true" applyAlignment="true" applyProtection="true">
      <alignment horizontal="center" vertical="bottom" textRotation="0" wrapText="false" indent="0" shrinkToFit="false"/>
      <protection locked="true" hidden="true"/>
    </xf>
    <xf numFmtId="172" fontId="20" fillId="10" borderId="17" xfId="0" applyFont="true" applyBorder="true" applyAlignment="true" applyProtection="true">
      <alignment horizontal="center" vertical="bottom" textRotation="0" wrapText="false" indent="0" shrinkToFit="false"/>
      <protection locked="true" hidden="true"/>
    </xf>
    <xf numFmtId="164" fontId="20" fillId="12" borderId="24" xfId="0" applyFont="true" applyBorder="true" applyAlignment="true" applyProtection="true">
      <alignment horizontal="center" vertical="bottom" textRotation="0" wrapText="false" indent="0" shrinkToFit="false"/>
      <protection locked="true" hidden="true"/>
    </xf>
    <xf numFmtId="164" fontId="58" fillId="12" borderId="24" xfId="0" applyFont="true" applyBorder="true" applyAlignment="true" applyProtection="true">
      <alignment horizontal="center" vertical="bottom" textRotation="0" wrapText="false" indent="0" shrinkToFit="false"/>
      <protection locked="true" hidden="true"/>
    </xf>
    <xf numFmtId="172" fontId="43" fillId="10" borderId="0" xfId="0" applyFont="true" applyBorder="false" applyAlignment="false" applyProtection="true">
      <alignment horizontal="general" vertical="bottom" textRotation="0" wrapText="false" indent="0" shrinkToFit="false"/>
      <protection locked="true" hidden="true"/>
    </xf>
    <xf numFmtId="165" fontId="26" fillId="10" borderId="24" xfId="0" applyFont="true" applyBorder="true" applyAlignment="true" applyProtection="true">
      <alignment horizontal="center" vertical="bottom" textRotation="0" wrapText="false" indent="0" shrinkToFit="false"/>
      <protection locked="true" hidden="true"/>
    </xf>
    <xf numFmtId="165" fontId="26" fillId="12" borderId="25" xfId="0" applyFont="true" applyBorder="true" applyAlignment="true" applyProtection="true">
      <alignment horizontal="center" vertical="bottom" textRotation="0" wrapText="false" indent="0" shrinkToFit="false"/>
      <protection locked="true" hidden="true"/>
    </xf>
    <xf numFmtId="165" fontId="26" fillId="10" borderId="0" xfId="0" applyFont="true" applyBorder="true" applyAlignment="true" applyProtection="true">
      <alignment horizontal="center" vertical="bottom" textRotation="0" wrapText="false" indent="0" shrinkToFit="false"/>
      <protection locked="true" hidden="true"/>
    </xf>
    <xf numFmtId="164" fontId="26" fillId="10" borderId="25" xfId="0" applyFont="true" applyBorder="true" applyAlignment="true" applyProtection="true">
      <alignment horizontal="center" vertical="bottom" textRotation="0" wrapText="false" indent="0" shrinkToFit="false"/>
      <protection locked="true" hidden="true"/>
    </xf>
    <xf numFmtId="164" fontId="59" fillId="10" borderId="0" xfId="0" applyFont="true" applyBorder="true" applyAlignment="true" applyProtection="true">
      <alignment horizontal="left" vertical="bottom" textRotation="0" wrapText="false" indent="0" shrinkToFit="false"/>
      <protection locked="true" hidden="true"/>
    </xf>
    <xf numFmtId="164" fontId="59" fillId="10" borderId="50" xfId="0" applyFont="true" applyBorder="true" applyAlignment="true" applyProtection="true">
      <alignment horizontal="left" vertical="bottom" textRotation="0" wrapText="false" indent="0" shrinkToFit="false"/>
      <protection locked="true" hidden="true"/>
    </xf>
    <xf numFmtId="164" fontId="59" fillId="11" borderId="63" xfId="0" applyFont="true" applyBorder="true" applyAlignment="true" applyProtection="true">
      <alignment horizontal="left" vertical="bottom" textRotation="0" wrapText="false" indent="0" shrinkToFit="false"/>
      <protection locked="true" hidden="true"/>
    </xf>
    <xf numFmtId="164" fontId="58" fillId="12" borderId="0" xfId="0" applyFont="true" applyBorder="false" applyAlignment="true" applyProtection="true">
      <alignment horizontal="left" vertical="bottom" textRotation="0" wrapText="false" indent="0" shrinkToFit="false"/>
      <protection locked="true" hidden="true"/>
    </xf>
    <xf numFmtId="164" fontId="59" fillId="10" borderId="52" xfId="0" applyFont="true" applyBorder="true" applyAlignment="true" applyProtection="true">
      <alignment horizontal="righ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75" fontId="90" fillId="12" borderId="0" xfId="0" applyFont="true" applyBorder="true" applyAlignment="true" applyProtection="true">
      <alignment horizontal="left" vertical="bottom" textRotation="0" wrapText="false" indent="0" shrinkToFit="false"/>
      <protection locked="true" hidden="true"/>
    </xf>
    <xf numFmtId="172" fontId="26" fillId="10" borderId="30" xfId="0" applyFont="true" applyBorder="true" applyAlignment="true" applyProtection="true">
      <alignment horizontal="center" vertical="bottom" textRotation="0" wrapText="false" indent="0" shrinkToFit="false"/>
      <protection locked="true" hidden="true"/>
    </xf>
    <xf numFmtId="175" fontId="95" fillId="10" borderId="0" xfId="0" applyFont="true" applyBorder="true" applyAlignment="true" applyProtection="true">
      <alignment horizontal="left" vertical="bottom" textRotation="0" wrapText="false" indent="0" shrinkToFit="false"/>
      <protection locked="true" hidden="true"/>
    </xf>
    <xf numFmtId="175" fontId="20" fillId="10" borderId="0" xfId="0" applyFont="true" applyBorder="true" applyAlignment="true" applyProtection="true">
      <alignment horizontal="center" vertical="bottom" textRotation="0" wrapText="false" indent="0" shrinkToFit="false"/>
      <protection locked="true" hidden="true"/>
    </xf>
    <xf numFmtId="175" fontId="26" fillId="10" borderId="0" xfId="0" applyFont="true" applyBorder="true" applyAlignment="true" applyProtection="true">
      <alignment horizontal="center" vertical="bottom" textRotation="0" wrapText="false" indent="0" shrinkToFit="false"/>
      <protection locked="true" hidden="true"/>
    </xf>
    <xf numFmtId="164" fontId="97" fillId="10" borderId="0" xfId="0" applyFont="true" applyBorder="true" applyAlignment="false" applyProtection="true">
      <alignment horizontal="general" vertical="bottom" textRotation="0" wrapText="false" indent="0" shrinkToFit="false"/>
      <protection locked="true" hidden="true"/>
    </xf>
    <xf numFmtId="164" fontId="97" fillId="10" borderId="28" xfId="0" applyFont="true" applyBorder="true" applyAlignment="false" applyProtection="true">
      <alignment horizontal="general" vertical="bottom" textRotation="0" wrapText="false" indent="0" shrinkToFit="false"/>
      <protection locked="true" hidden="true"/>
    </xf>
    <xf numFmtId="164" fontId="97" fillId="11" borderId="27" xfId="0" applyFont="true" applyBorder="true" applyAlignment="false" applyProtection="true">
      <alignment horizontal="general" vertical="bottom" textRotation="0" wrapText="false" indent="0" shrinkToFit="false"/>
      <protection locked="true" hidden="true"/>
    </xf>
    <xf numFmtId="164" fontId="58" fillId="12" borderId="0" xfId="0" applyFont="true" applyBorder="false" applyAlignment="false" applyProtection="true">
      <alignment horizontal="general" vertical="bottom" textRotation="0" wrapText="false" indent="0" shrinkToFit="false"/>
      <protection locked="true" hidden="true"/>
    </xf>
    <xf numFmtId="164" fontId="90" fillId="10" borderId="52" xfId="0" applyFont="true" applyBorder="true" applyAlignment="true" applyProtection="true">
      <alignment horizontal="center" vertical="bottom" textRotation="0" wrapText="false" indent="0" shrinkToFit="false"/>
      <protection locked="true" hidden="true"/>
    </xf>
    <xf numFmtId="175" fontId="90" fillId="10" borderId="82" xfId="0" applyFont="true" applyBorder="true" applyAlignment="true" applyProtection="true">
      <alignment horizontal="center" vertical="bottom" textRotation="0" wrapText="false" indent="0" shrinkToFit="false"/>
      <protection locked="true" hidden="true"/>
    </xf>
    <xf numFmtId="175" fontId="20" fillId="10" borderId="82" xfId="0" applyFont="true" applyBorder="true" applyAlignment="true" applyProtection="true">
      <alignment horizontal="center" vertical="bottom" textRotation="0" wrapText="false" indent="0" shrinkToFit="false"/>
      <protection locked="true" hidden="true"/>
    </xf>
    <xf numFmtId="175" fontId="20" fillId="10" borderId="25" xfId="0" applyFont="true" applyBorder="true" applyAlignment="true" applyProtection="true">
      <alignment horizontal="center" vertical="bottom" textRotation="0" wrapText="false" indent="0" shrinkToFit="false"/>
      <protection locked="true" hidden="true"/>
    </xf>
    <xf numFmtId="175" fontId="20" fillId="10" borderId="24" xfId="0" applyFont="true" applyBorder="true" applyAlignment="true" applyProtection="true">
      <alignment horizontal="center" vertical="bottom" textRotation="0" wrapText="false" indent="0" shrinkToFit="false"/>
      <protection locked="true" hidden="true"/>
    </xf>
    <xf numFmtId="175" fontId="92" fillId="10" borderId="40" xfId="0" applyFont="true" applyBorder="true" applyAlignment="true" applyProtection="true">
      <alignment horizontal="center" vertical="bottom" textRotation="0" wrapText="false" indent="0" shrinkToFit="false"/>
      <protection locked="true" hidden="true"/>
    </xf>
    <xf numFmtId="164" fontId="20" fillId="10" borderId="43" xfId="0" applyFont="true" applyBorder="true" applyAlignment="true" applyProtection="true">
      <alignment horizontal="center" vertical="bottom" textRotation="0" wrapText="false" indent="0" shrinkToFit="false"/>
      <protection locked="true" hidden="true"/>
    </xf>
    <xf numFmtId="164" fontId="20" fillId="10" borderId="30" xfId="0" applyFont="true" applyBorder="true" applyAlignment="true" applyProtection="true">
      <alignment horizontal="center" vertical="bottom" textRotation="0" wrapText="false" indent="0" shrinkToFit="false"/>
      <protection locked="true" hidden="true"/>
    </xf>
    <xf numFmtId="164" fontId="29" fillId="12" borderId="24" xfId="0" applyFont="true" applyBorder="true" applyAlignment="false" applyProtection="true">
      <alignment horizontal="general" vertical="bottom" textRotation="0" wrapText="false" indent="0" shrinkToFit="false"/>
      <protection locked="true" hidden="true"/>
    </xf>
    <xf numFmtId="164" fontId="29" fillId="12" borderId="25" xfId="0" applyFont="true" applyBorder="true" applyAlignment="false" applyProtection="true">
      <alignment horizontal="general" vertical="bottom" textRotation="0" wrapText="false" indent="0" shrinkToFit="false"/>
      <protection locked="true" hidden="true"/>
    </xf>
    <xf numFmtId="164" fontId="29" fillId="12" borderId="0" xfId="0" applyFont="true" applyBorder="true" applyAlignment="true" applyProtection="true">
      <alignment horizontal="center" vertical="bottom" textRotation="0" wrapText="false" indent="0" shrinkToFit="false"/>
      <protection locked="true" hidden="true"/>
    </xf>
    <xf numFmtId="164" fontId="29" fillId="12" borderId="25" xfId="0" applyFont="true" applyBorder="true" applyAlignment="true" applyProtection="true">
      <alignment horizontal="center" vertical="bottom" textRotation="0" wrapText="false" indent="0" shrinkToFit="false"/>
      <protection locked="true" hidden="true"/>
    </xf>
    <xf numFmtId="164" fontId="29" fillId="12" borderId="83" xfId="0" applyFont="true" applyBorder="true" applyAlignment="true" applyProtection="true">
      <alignment horizontal="center" vertical="bottom" textRotation="0" wrapText="false" indent="0" shrinkToFit="false"/>
      <protection locked="true" hidden="true"/>
    </xf>
    <xf numFmtId="164" fontId="0" fillId="10" borderId="17" xfId="0" applyFont="true" applyBorder="true" applyAlignment="true" applyProtection="true">
      <alignment horizontal="center" vertical="bottom" textRotation="0" wrapText="false" indent="0" shrinkToFit="false"/>
      <protection locked="true" hidden="true"/>
    </xf>
    <xf numFmtId="164" fontId="20" fillId="10"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12" borderId="69" xfId="0" applyFont="true" applyBorder="true" applyAlignment="true" applyProtection="true">
      <alignment horizontal="general" vertical="bottom" textRotation="0" wrapText="false" indent="0" shrinkToFit="false"/>
      <protection locked="true" hidden="true"/>
    </xf>
    <xf numFmtId="174" fontId="20" fillId="10" borderId="85" xfId="0" applyFont="true" applyBorder="true" applyAlignment="true" applyProtection="true">
      <alignment horizontal="general" vertical="bottom" textRotation="0" wrapText="false" indent="0" shrinkToFit="false"/>
      <protection locked="true" hidden="true"/>
    </xf>
    <xf numFmtId="174" fontId="43" fillId="8" borderId="85" xfId="0" applyFont="true" applyBorder="true" applyAlignment="true" applyProtection="true">
      <alignment horizontal="general" vertical="bottom" textRotation="0" wrapText="false" indent="0" shrinkToFit="false"/>
      <protection locked="true" hidden="true"/>
    </xf>
    <xf numFmtId="165" fontId="33" fillId="12" borderId="86" xfId="0" applyFont="true" applyBorder="true" applyAlignment="true" applyProtection="true">
      <alignment horizontal="center" vertical="bottom" textRotation="0" wrapText="false" indent="0" shrinkToFit="false"/>
      <protection locked="true" hidden="true"/>
    </xf>
    <xf numFmtId="165" fontId="29" fillId="10" borderId="86" xfId="0" applyFont="true" applyBorder="true" applyAlignment="true" applyProtection="true">
      <alignment horizontal="center" vertical="bottom" textRotation="0" wrapText="false" indent="0" shrinkToFit="false"/>
      <protection locked="true" hidden="true"/>
    </xf>
    <xf numFmtId="165" fontId="29" fillId="10" borderId="74" xfId="0" applyFont="true" applyBorder="true" applyAlignment="true" applyProtection="true">
      <alignment horizontal="center" vertical="bottom" textRotation="0" wrapText="false" indent="0" shrinkToFit="false"/>
      <protection locked="true" hidden="true"/>
    </xf>
    <xf numFmtId="174" fontId="0" fillId="8" borderId="32" xfId="0" applyFont="false" applyBorder="true" applyAlignment="true" applyProtection="false">
      <alignment horizontal="general" vertical="bottom" textRotation="0" wrapText="false" indent="0" shrinkToFit="false"/>
      <protection locked="true" hidden="false"/>
    </xf>
    <xf numFmtId="164" fontId="20" fillId="8" borderId="86" xfId="0" applyFont="true" applyBorder="true" applyAlignment="true" applyProtection="true">
      <alignment horizontal="left" vertical="bottom" textRotation="0" wrapText="false" indent="0" shrinkToFit="false"/>
      <protection locked="true" hidden="true"/>
    </xf>
    <xf numFmtId="164" fontId="90" fillId="8" borderId="34" xfId="0" applyFont="true" applyBorder="true" applyAlignment="true" applyProtection="true">
      <alignment horizontal="right" vertical="bottom" textRotation="0" wrapText="false" indent="0" shrinkToFit="false"/>
      <protection locked="true" hidden="true"/>
    </xf>
    <xf numFmtId="174" fontId="90" fillId="8" borderId="34" xfId="0" applyFont="true" applyBorder="true" applyAlignment="true" applyProtection="true">
      <alignment horizontal="right" vertical="bottom" textRotation="0" wrapText="false" indent="0" shrinkToFit="false"/>
      <protection locked="true" hidden="true"/>
    </xf>
    <xf numFmtId="174" fontId="0" fillId="12" borderId="63" xfId="0" applyFont="false" applyBorder="tru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90" fillId="12" borderId="0" xfId="0" applyFont="true" applyBorder="fals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4" xfId="0" applyFont="true" applyBorder="true" applyAlignment="true" applyProtection="true">
      <alignment horizontal="general" vertical="bottom" textRotation="0" wrapText="false" indent="0" shrinkToFit="false"/>
      <protection locked="false" hidden="false"/>
    </xf>
    <xf numFmtId="172" fontId="20" fillId="5" borderId="33" xfId="0" applyFont="true" applyBorder="true" applyAlignment="true" applyProtection="true">
      <alignment horizontal="general" vertical="bottom" textRotation="0" wrapText="false" indent="0" shrinkToFit="false"/>
      <protection locked="false" hidden="false"/>
    </xf>
    <xf numFmtId="174" fontId="20" fillId="12" borderId="33" xfId="0" applyFont="true" applyBorder="true" applyAlignment="true" applyProtection="true">
      <alignment horizontal="general" vertical="bottom" textRotation="0" wrapText="false" indent="0" shrinkToFit="false"/>
      <protection locked="true" hidden="true"/>
    </xf>
    <xf numFmtId="174" fontId="20" fillId="10" borderId="73" xfId="0" applyFont="true" applyBorder="true" applyAlignment="true" applyProtection="true">
      <alignment horizontal="general" vertical="bottom" textRotation="0" wrapText="false" indent="0" shrinkToFit="false"/>
      <protection locked="true" hidden="true"/>
    </xf>
    <xf numFmtId="174" fontId="43" fillId="8" borderId="31" xfId="0" applyFont="true" applyBorder="true" applyAlignment="true" applyProtection="true">
      <alignment horizontal="general" vertical="bottom" textRotation="0" wrapText="false" indent="0" shrinkToFit="false"/>
      <protection locked="true" hidden="true"/>
    </xf>
    <xf numFmtId="165" fontId="29" fillId="10" borderId="32" xfId="0" applyFont="true" applyBorder="true" applyAlignment="true" applyProtection="true">
      <alignment horizontal="center" vertical="bottom" textRotation="0" wrapText="false" indent="0" shrinkToFit="false"/>
      <protection locked="true" hidden="true"/>
    </xf>
    <xf numFmtId="164" fontId="20" fillId="8" borderId="32" xfId="0" applyFont="true" applyBorder="true" applyAlignment="true" applyProtection="true">
      <alignment horizontal="left" vertical="bottom" textRotation="0" wrapText="false" indent="0" shrinkToFit="false"/>
      <protection locked="true" hidden="true"/>
    </xf>
    <xf numFmtId="174" fontId="0" fillId="12" borderId="21" xfId="0" applyFont="false" applyBorder="true" applyAlignment="false" applyProtection="true">
      <alignment horizontal="general" vertical="bottom" textRotation="0" wrapText="false" indent="0" shrinkToFit="false"/>
      <protection locked="true" hidden="true"/>
    </xf>
    <xf numFmtId="165" fontId="97" fillId="0" borderId="0" xfId="0" applyFont="true" applyBorder="false" applyAlignment="false" applyProtection="true">
      <alignment horizontal="general" vertical="bottom" textRotation="0" wrapText="false" indent="0" shrinkToFit="false"/>
      <protection locked="true" hidden="true"/>
    </xf>
    <xf numFmtId="174" fontId="20" fillId="10" borderId="31" xfId="0" applyFont="true" applyBorder="true" applyAlignment="true" applyProtection="true">
      <alignment horizontal="general" vertical="bottom" textRotation="0" wrapText="false" indent="0" shrinkToFit="false"/>
      <protection locked="true" hidden="true"/>
    </xf>
    <xf numFmtId="164" fontId="86" fillId="0" borderId="0" xfId="0" applyFont="true" applyBorder="true" applyAlignment="true" applyProtection="true">
      <alignment horizontal="center" vertical="center" textRotation="0" wrapText="false" indent="0" shrinkToFit="false"/>
      <protection locked="true" hidden="true"/>
    </xf>
    <xf numFmtId="164" fontId="0" fillId="8" borderId="32" xfId="0" applyFont="false" applyBorder="true" applyAlignment="true" applyProtection="false">
      <alignment horizontal="general" vertical="bottom" textRotation="0" wrapText="false" indent="0" shrinkToFit="false"/>
      <protection locked="true" hidden="false"/>
    </xf>
    <xf numFmtId="164" fontId="90" fillId="8" borderId="34" xfId="0" applyFont="true" applyBorder="true" applyAlignment="true" applyProtection="false">
      <alignment horizontal="right" vertical="bottom" textRotation="0" wrapText="false" indent="0" shrinkToFit="false"/>
      <protection locked="true" hidden="false"/>
    </xf>
    <xf numFmtId="174" fontId="90" fillId="8" borderId="34"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2" fontId="20" fillId="5" borderId="37" xfId="0" applyFont="true" applyBorder="true" applyAlignment="true" applyProtection="true">
      <alignment horizontal="general" vertical="bottom" textRotation="0" wrapText="false" indent="0" shrinkToFit="false"/>
      <protection locked="false" hidden="false"/>
    </xf>
    <xf numFmtId="174" fontId="20" fillId="12" borderId="37" xfId="0" applyFont="true" applyBorder="true" applyAlignment="true" applyProtection="true">
      <alignment horizontal="general" vertical="bottom" textRotation="0" wrapText="false" indent="0" shrinkToFit="false"/>
      <protection locked="true" hidden="true"/>
    </xf>
    <xf numFmtId="174" fontId="20" fillId="10" borderId="35" xfId="0" applyFont="true" applyBorder="true" applyAlignment="true" applyProtection="true">
      <alignment horizontal="general" vertical="bottom" textRotation="0" wrapText="false" indent="0" shrinkToFit="false"/>
      <protection locked="true" hidden="true"/>
    </xf>
    <xf numFmtId="174" fontId="43" fillId="8" borderId="35" xfId="0" applyFont="true" applyBorder="true" applyAlignment="true" applyProtection="true">
      <alignment horizontal="general" vertical="bottom" textRotation="0" wrapText="false" indent="0" shrinkToFit="false"/>
      <protection locked="true" hidden="true"/>
    </xf>
    <xf numFmtId="165" fontId="29" fillId="10" borderId="36" xfId="0" applyFont="true" applyBorder="true" applyAlignment="true" applyProtection="true">
      <alignment horizontal="center" vertical="bottom" textRotation="0" wrapText="false" indent="0" shrinkToFit="false"/>
      <protection locked="true" hidden="true"/>
    </xf>
    <xf numFmtId="164" fontId="0" fillId="8" borderId="36" xfId="0" applyFont="false" applyBorder="true" applyAlignment="true" applyProtection="false">
      <alignment horizontal="general" vertical="bottom" textRotation="0" wrapText="false" indent="0" shrinkToFit="false"/>
      <protection locked="true" hidden="false"/>
    </xf>
    <xf numFmtId="164" fontId="90" fillId="8" borderId="38" xfId="0" applyFont="true" applyBorder="true" applyAlignment="true" applyProtection="false">
      <alignment horizontal="right" vertical="bottom" textRotation="0" wrapText="false" indent="0" shrinkToFit="false"/>
      <protection locked="true" hidden="false"/>
    </xf>
    <xf numFmtId="174" fontId="90" fillId="8" borderId="38" xfId="0" applyFont="true" applyBorder="true" applyAlignment="true" applyProtection="false">
      <alignment horizontal="right" vertical="bottom" textRotation="0" wrapText="false" indent="0" shrinkToFit="false"/>
      <protection locked="true" hidden="false"/>
    </xf>
    <xf numFmtId="164" fontId="97"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12" borderId="63" xfId="0" applyFont="true" applyBorder="true" applyAlignment="false" applyProtection="true">
      <alignment horizontal="general" vertical="bottom" textRotation="0" wrapText="false" indent="0" shrinkToFit="false"/>
      <protection locked="true" hidden="true"/>
    </xf>
    <xf numFmtId="164" fontId="0" fillId="12" borderId="25"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2" borderId="27" xfId="0" applyFont="false" applyBorder="true" applyAlignment="false" applyProtection="true">
      <alignment horizontal="general" vertical="bottom" textRotation="0" wrapText="false" indent="0" shrinkToFit="false"/>
      <protection locked="true" hidden="true"/>
    </xf>
    <xf numFmtId="174" fontId="0" fillId="12" borderId="28" xfId="0" applyFont="false" applyBorder="true" applyAlignment="false" applyProtection="true">
      <alignment horizontal="general" vertical="bottom" textRotation="0" wrapText="false" indent="0" shrinkToFit="false"/>
      <protection locked="true" hidden="true"/>
    </xf>
    <xf numFmtId="173" fontId="0" fillId="12" borderId="28" xfId="0" applyFont="false" applyBorder="true" applyAlignment="false" applyProtection="true">
      <alignment horizontal="general" vertical="bottom" textRotation="0" wrapText="false" indent="0" shrinkToFit="false"/>
      <protection locked="true" hidden="true"/>
    </xf>
    <xf numFmtId="172" fontId="0" fillId="12" borderId="28" xfId="0" applyFont="false" applyBorder="true" applyAlignment="false" applyProtection="true">
      <alignment horizontal="general" vertical="bottom" textRotation="0" wrapText="false" indent="0" shrinkToFit="false"/>
      <protection locked="true" hidden="true"/>
    </xf>
    <xf numFmtId="165" fontId="0" fillId="12" borderId="28" xfId="0" applyFont="false" applyBorder="true" applyAlignment="false" applyProtection="true">
      <alignment horizontal="general" vertical="bottom" textRotation="0" wrapText="false" indent="0" shrinkToFit="false"/>
      <protection locked="true" hidden="true"/>
    </xf>
    <xf numFmtId="172" fontId="0" fillId="12" borderId="0" xfId="0" applyFont="false" applyBorder="false" applyAlignment="false" applyProtection="true">
      <alignment horizontal="general" vertical="bottom" textRotation="0" wrapText="false" indent="0" shrinkToFit="false"/>
      <protection locked="true" hidden="true"/>
    </xf>
    <xf numFmtId="175" fontId="0" fillId="12" borderId="28" xfId="0" applyFont="false" applyBorder="true" applyAlignment="false" applyProtection="true">
      <alignment horizontal="general" vertical="bottom" textRotation="0" wrapText="false" indent="0" shrinkToFit="false"/>
      <protection locked="true" hidden="true"/>
    </xf>
    <xf numFmtId="165" fontId="0" fillId="12" borderId="30" xfId="0" applyFont="false" applyBorder="true" applyAlignment="false" applyProtection="true">
      <alignment horizontal="general" vertical="bottom" textRotation="0" wrapText="false" indent="0" shrinkToFit="false"/>
      <protection locked="true" hidden="true"/>
    </xf>
    <xf numFmtId="165" fontId="0" fillId="12"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12" borderId="0" xfId="0" applyFont="true" applyBorder="false" applyAlignment="false" applyProtection="true">
      <alignment horizontal="general" vertical="bottom" textRotation="0" wrapText="false" indent="0" shrinkToFit="false"/>
      <protection locked="true" hidden="true"/>
    </xf>
    <xf numFmtId="172" fontId="26" fillId="12" borderId="28" xfId="0" applyFont="true" applyBorder="true" applyAlignment="false" applyProtection="true">
      <alignment horizontal="general" vertical="bottom" textRotation="0" wrapText="false" indent="0" shrinkToFit="false"/>
      <protection locked="true" hidden="true"/>
    </xf>
    <xf numFmtId="172" fontId="27" fillId="12" borderId="56" xfId="0" applyFont="true" applyBorder="true" applyAlignment="true" applyProtection="true">
      <alignment horizontal="left" vertical="top" textRotation="0" wrapText="false" indent="0" shrinkToFit="false"/>
      <protection locked="true" hidden="true"/>
    </xf>
    <xf numFmtId="172" fontId="27" fillId="12" borderId="57" xfId="0" applyFont="true" applyBorder="true" applyAlignment="true" applyProtection="true">
      <alignment horizontal="left" vertical="top" textRotation="0" wrapText="false" indent="0" shrinkToFit="false"/>
      <protection locked="true" hidden="true"/>
    </xf>
    <xf numFmtId="172" fontId="59" fillId="12" borderId="49" xfId="0" applyFont="true" applyBorder="true" applyAlignment="true" applyProtection="true">
      <alignment horizontal="left" vertical="top" textRotation="0" wrapText="false" indent="0" shrinkToFit="false"/>
      <protection locked="true" hidden="true"/>
    </xf>
    <xf numFmtId="172" fontId="20" fillId="12" borderId="49" xfId="0" applyFont="true" applyBorder="true" applyAlignment="true" applyProtection="true">
      <alignment horizontal="center" vertical="top" textRotation="0" wrapText="false" indent="0" shrinkToFit="false"/>
      <protection locked="true" hidden="true"/>
    </xf>
    <xf numFmtId="164" fontId="18"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right" vertical="top" textRotation="0" wrapText="false" indent="0" shrinkToFit="false"/>
      <protection locked="true" hidden="true"/>
    </xf>
    <xf numFmtId="164" fontId="89" fillId="12" borderId="62" xfId="0" applyFont="true" applyBorder="true" applyAlignment="true" applyProtection="true">
      <alignment horizontal="center" vertical="top" textRotation="0" wrapText="false" indent="0" shrinkToFit="false"/>
      <protection locked="true" hidden="true"/>
    </xf>
    <xf numFmtId="164" fontId="102" fillId="13" borderId="60" xfId="0" applyFont="true" applyBorder="true" applyAlignment="true" applyProtection="true">
      <alignment horizontal="left" vertical="bottom" textRotation="0" wrapText="false" indent="0" shrinkToFit="false"/>
      <protection locked="true" hidden="tru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3" fillId="2" borderId="0" xfId="0" applyFont="true" applyBorder="false" applyAlignment="true" applyProtection="true">
      <alignment horizontal="right" vertical="bottom" textRotation="0" wrapText="false" indent="0" shrinkToFit="false"/>
      <protection locked="false" hidden="false"/>
    </xf>
    <xf numFmtId="164" fontId="30" fillId="10" borderId="20" xfId="0" applyFont="true" applyBorder="true" applyAlignment="true" applyProtection="false">
      <alignment horizontal="center" vertical="bottom" textRotation="0" wrapText="false" indent="0" shrinkToFit="false"/>
      <protection locked="true" hidden="false"/>
    </xf>
    <xf numFmtId="164" fontId="104" fillId="10"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10" borderId="22"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10" borderId="16" xfId="0" applyFont="true" applyBorder="true" applyAlignment="true" applyProtection="false">
      <alignment horizontal="center" vertical="bottom" textRotation="0" wrapText="false" indent="0" shrinkToFit="false"/>
      <protection locked="true" hidden="false"/>
    </xf>
    <xf numFmtId="164" fontId="25" fillId="10"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10" borderId="88" xfId="0" applyFont="true" applyBorder="true" applyAlignment="true" applyProtection="false">
      <alignment horizontal="left" vertical="bottom" textRotation="0" wrapText="false" indent="0" shrinkToFit="false"/>
      <protection locked="true" hidden="false"/>
    </xf>
    <xf numFmtId="164" fontId="25" fillId="10" borderId="88" xfId="0" applyFont="true" applyBorder="true" applyAlignment="true" applyProtection="false">
      <alignment horizontal="center" vertical="bottom" textRotation="0" wrapText="false" indent="0" shrinkToFit="false"/>
      <protection locked="true" hidden="false"/>
    </xf>
    <xf numFmtId="164" fontId="30" fillId="10" borderId="20" xfId="0" applyFont="true" applyBorder="true" applyAlignment="true" applyProtection="false">
      <alignment horizontal="left" vertical="bottom" textRotation="0" wrapText="false" indent="0" shrinkToFit="false"/>
      <protection locked="true" hidden="false"/>
    </xf>
    <xf numFmtId="164" fontId="39" fillId="10" borderId="20" xfId="0" applyFont="true" applyBorder="true" applyAlignment="true" applyProtection="false">
      <alignment horizontal="general" vertical="bottom" textRotation="0" wrapText="false" indent="0" shrinkToFit="false"/>
      <protection locked="true" hidden="false"/>
    </xf>
    <xf numFmtId="164" fontId="92" fillId="10" borderId="20" xfId="0" applyFont="true" applyBorder="true" applyAlignment="true" applyProtection="false">
      <alignment horizontal="left" vertical="bottom" textRotation="0" wrapText="false" indent="0" shrinkToFit="false"/>
      <protection locked="true" hidden="false"/>
    </xf>
    <xf numFmtId="164" fontId="40" fillId="0" borderId="9"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64" fontId="0" fillId="7" borderId="24" xfId="0" applyFont="true" applyBorder="true" applyAlignment="false" applyProtection="false">
      <alignment horizontal="general" vertical="bottom" textRotation="0" wrapText="false" indent="0" shrinkToFit="false"/>
      <protection locked="true" hidden="false"/>
    </xf>
    <xf numFmtId="164" fontId="0" fillId="7" borderId="83" xfId="0" applyFont="false" applyBorder="true" applyAlignment="false" applyProtection="false">
      <alignment horizontal="general"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0" fillId="10" borderId="25" xfId="0" applyFont="false" applyBorder="true" applyAlignment="false" applyProtection="false">
      <alignment horizontal="general" vertical="bottom" textRotation="0" wrapText="false" indent="0" shrinkToFit="false"/>
      <protection locked="true" hidden="false"/>
    </xf>
    <xf numFmtId="164" fontId="0" fillId="10" borderId="83" xfId="0" applyFont="false" applyBorder="true" applyAlignment="false" applyProtection="false">
      <alignment horizontal="general" vertical="bottom" textRotation="0" wrapText="false" indent="0" shrinkToFit="false"/>
      <protection locked="true" hidden="false"/>
    </xf>
    <xf numFmtId="164" fontId="0" fillId="10" borderId="63" xfId="0" applyFont="true" applyBorder="true" applyAlignment="false" applyProtection="false">
      <alignment horizontal="general" vertical="bottom" textRotation="0" wrapText="false" indent="0" shrinkToFit="false"/>
      <protection locked="true" hidden="false"/>
    </xf>
    <xf numFmtId="164" fontId="0" fillId="10" borderId="0" xfId="0" applyFont="false" applyBorder="true" applyAlignment="false" applyProtection="false">
      <alignment horizontal="general" vertical="bottom" textRotation="0" wrapText="false" indent="0" shrinkToFit="false"/>
      <protection locked="true" hidden="false"/>
    </xf>
    <xf numFmtId="164" fontId="0" fillId="10" borderId="21" xfId="0" applyFont="false" applyBorder="true" applyAlignment="false" applyProtection="false">
      <alignment horizontal="general" vertical="bottom" textRotation="0" wrapText="false" indent="0" shrinkToFit="false"/>
      <protection locked="true" hidden="false"/>
    </xf>
    <xf numFmtId="164" fontId="0" fillId="10" borderId="27" xfId="0" applyFont="true" applyBorder="true" applyAlignment="false" applyProtection="false">
      <alignment horizontal="general" vertical="bottom" textRotation="0" wrapText="false" indent="0" shrinkToFit="false"/>
      <protection locked="true" hidden="false"/>
    </xf>
    <xf numFmtId="164" fontId="0" fillId="10" borderId="28" xfId="0" applyFont="fals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0" fillId="7" borderId="17" xfId="0" applyFont="true" applyBorder="true" applyAlignment="false" applyProtection="false">
      <alignment horizontal="general" vertical="bottom" textRotation="0" wrapText="false" indent="0" shrinkToFit="false"/>
      <protection locked="true" hidden="false"/>
    </xf>
    <xf numFmtId="164" fontId="0" fillId="10" borderId="26" xfId="0" applyFont="true" applyBorder="true" applyAlignment="false" applyProtection="false">
      <alignment horizontal="general" vertical="bottom" textRotation="0" wrapText="false" indent="0" shrinkToFit="false"/>
      <protection locked="true" hidden="false"/>
    </xf>
    <xf numFmtId="164" fontId="0" fillId="10" borderId="29" xfId="0" applyFont="false" applyBorder="true" applyAlignment="false" applyProtection="false">
      <alignment horizontal="general" vertical="bottom" textRotation="0" wrapText="false" indent="0" shrinkToFit="false"/>
      <protection locked="true" hidden="false"/>
    </xf>
    <xf numFmtId="164" fontId="39" fillId="10" borderId="20" xfId="0" applyFont="true" applyBorder="true" applyAlignment="true" applyProtection="false">
      <alignment horizontal="left" vertical="bottom" textRotation="0" wrapText="false" indent="0" shrinkToFit="false"/>
      <protection locked="true" hidden="false"/>
    </xf>
    <xf numFmtId="164" fontId="0" fillId="10" borderId="89" xfId="0" applyFont="true" applyBorder="true" applyAlignment="false" applyProtection="false">
      <alignment horizontal="general" vertical="bottom" textRotation="0" wrapText="false" indent="0" shrinkToFit="false"/>
      <protection locked="true" hidden="false"/>
    </xf>
    <xf numFmtId="164" fontId="57" fillId="10" borderId="20" xfId="0" applyFont="true" applyBorder="true" applyAlignment="true" applyProtection="false">
      <alignment horizontal="left" vertical="bottom" textRotation="0" wrapText="false" indent="0" shrinkToFit="false"/>
      <protection locked="true" hidden="false"/>
    </xf>
    <xf numFmtId="164" fontId="57" fillId="10" borderId="20" xfId="0" applyFont="true" applyBorder="true" applyAlignment="true" applyProtection="false">
      <alignment horizontal="general" vertical="bottom" textRotation="0" wrapText="false" indent="0" shrinkToFit="false"/>
      <protection locked="true" hidden="false"/>
    </xf>
    <xf numFmtId="164" fontId="30" fillId="10" borderId="0" xfId="0" applyFont="true" applyBorder="false" applyAlignment="true" applyProtection="false">
      <alignment horizontal="left" vertical="bottom" textRotation="0" wrapText="false" indent="0" shrinkToFit="false"/>
      <protection locked="true" hidden="false"/>
    </xf>
    <xf numFmtId="164" fontId="30" fillId="10" borderId="20" xfId="0" applyFont="true" applyBorder="true" applyAlignment="true" applyProtection="false">
      <alignment horizontal="left" vertical="top" textRotation="0" wrapText="false" indent="0" shrinkToFit="false"/>
      <protection locked="true" hidden="false"/>
    </xf>
    <xf numFmtId="167" fontId="30" fillId="10" borderId="20" xfId="0" applyFont="true" applyBorder="true" applyAlignment="true" applyProtection="false">
      <alignment horizontal="left" vertical="bottom" textRotation="0" wrapText="false" indent="0" shrinkToFit="false"/>
      <protection locked="true" hidden="false"/>
    </xf>
    <xf numFmtId="164" fontId="92" fillId="10" borderId="22" xfId="0" applyFont="true" applyBorder="true" applyAlignment="true" applyProtection="false">
      <alignment horizontal="left" vertical="bottom" textRotation="0" wrapText="false" indent="0" shrinkToFit="false"/>
      <protection locked="true" hidden="false"/>
    </xf>
    <xf numFmtId="164" fontId="39" fillId="10" borderId="22"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Phanérogames :  Index synonymique de Kerguelen (consultable sur le site http://www.dijon.inra.fr/flore-france/consult.htm).</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8</v>
      </c>
      <c r="M5" s="543"/>
      <c r="N5" s="544"/>
      <c r="O5" s="545" t="n">
        <v>7.375</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28</v>
      </c>
      <c r="C7" s="342" t="n">
        <v>72</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6.82608695652174</v>
      </c>
      <c r="O8" s="358" t="n">
        <f aca="false">AVERAGE(J23:J82)</f>
        <v>1.17391304347826</v>
      </c>
      <c r="P8" s="359"/>
      <c r="Q8" s="284"/>
      <c r="R8" s="284"/>
      <c r="S8" s="284"/>
      <c r="T8" s="284"/>
      <c r="U8" s="284"/>
      <c r="V8" s="284"/>
      <c r="W8" s="296"/>
      <c r="X8" s="297"/>
    </row>
    <row r="9" customFormat="false" ht="13.5" hidden="false" customHeight="false" outlineLevel="0" collapsed="false">
      <c r="A9" s="317" t="s">
        <v>2649</v>
      </c>
      <c r="B9" s="360" t="n">
        <v>6.76</v>
      </c>
      <c r="C9" s="361" t="n">
        <v>2.11</v>
      </c>
      <c r="D9" s="362"/>
      <c r="E9" s="362"/>
      <c r="F9" s="363" t="n">
        <f aca="false">($B9*$B$7+$C9*$C$7)/100</f>
        <v>3.412</v>
      </c>
      <c r="G9" s="364"/>
      <c r="H9" s="365"/>
      <c r="I9" s="366"/>
      <c r="J9" s="367"/>
      <c r="K9" s="348"/>
      <c r="L9" s="368"/>
      <c r="M9" s="357" t="s">
        <v>2650</v>
      </c>
      <c r="N9" s="358" t="n">
        <f aca="false">STDEV(I23:I82)</f>
        <v>4.56918705632974</v>
      </c>
      <c r="O9" s="358" t="n">
        <f aca="false">STDEV(J23:J82)</f>
        <v>0.834057656228299</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7</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1</v>
      </c>
      <c r="L13" s="390"/>
      <c r="M13" s="401" t="s">
        <v>2661</v>
      </c>
      <c r="N13" s="402" t="n">
        <f aca="false">COUNTIF(F23:F82,"&gt;0")</f>
        <v>25</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23</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14</v>
      </c>
      <c r="L15" s="390"/>
      <c r="M15" s="411" t="s">
        <v>2667</v>
      </c>
      <c r="N15" s="412" t="n">
        <f aca="false">COUNTIF(J23:J82,"=1")</f>
        <v>10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7</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6.76</v>
      </c>
      <c r="C20" s="440" t="n">
        <f aca="false">SUM(C23:C82)</f>
        <v>2.11</v>
      </c>
      <c r="D20" s="441"/>
      <c r="E20" s="442" t="s">
        <v>2673</v>
      </c>
      <c r="F20" s="443" t="n">
        <f aca="false">($B20*$B$7+$C20*$C$7)/100</f>
        <v>3.412</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1.8928</v>
      </c>
      <c r="C21" s="453" t="n">
        <f aca="false">C20*C7/100</f>
        <v>1.5192</v>
      </c>
      <c r="D21" s="385" t="str">
        <f aca="false">IF(F21=0,"",IF((ABS(F21-F19))&gt;(0.2*F21),CONCATENATE(" rec. par taxa (",F21," %) supérieur à 20 % !"),""))</f>
        <v> rec. par taxa (3,412 %) supérieur à 20 % !</v>
      </c>
      <c r="E21" s="454" t="str">
        <f aca="false">IF(F21=0,"",IF((ABS(F21-F19))&gt;(0.2*F21),CONCATENATE("ATTENTION : écart entre rec. par grp (",F19," %) ","et",""),""))</f>
        <v>ATTENTION : écart entre rec. par grp (0 %) et</v>
      </c>
      <c r="F21" s="455" t="n">
        <f aca="false">B21+C21</f>
        <v>3.412</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5</v>
      </c>
      <c r="C23" s="500" t="n">
        <v>0.1</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1.472</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1.472</v>
      </c>
      <c r="R23" s="492" t="n">
        <f aca="false">IF(OR(ISTEXT(H23),Q23=0),"",IF(Q23&lt;0.1,1,IF(Q23&lt;1,2,IF(Q23&lt;10,3,IF(Q23&lt;50,4,IF(Q23&gt;=50,5,""))))))</f>
        <v>3</v>
      </c>
      <c r="S23" s="492" t="n">
        <f aca="false">IF(ISERROR(R23*I23),0,R23*I23)</f>
        <v>18</v>
      </c>
      <c r="T23" s="492" t="n">
        <f aca="false">IF(ISERROR(R23*I23*J23),0,R23*I23*J23)</f>
        <v>18</v>
      </c>
      <c r="U23" s="492" t="n">
        <f aca="false">IF(ISERROR(R23*J23),0,R23*J23)</f>
        <v>3</v>
      </c>
      <c r="V23" s="493" t="n">
        <v>3</v>
      </c>
      <c r="W23" s="507"/>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131</v>
      </c>
      <c r="B24" s="499" t="n">
        <v>0.05</v>
      </c>
      <c r="C24" s="500" t="n">
        <v>0.01</v>
      </c>
      <c r="D24" s="501" t="str">
        <f aca="false">IF(ISERROR(VLOOKUP($A24,'liste reference'!$A$7:$D$904,2,0)),IF(ISERROR(VLOOKUP($A24,'liste reference'!$B$7:$D$904,1,0)),"",VLOOKUP($A24,'liste reference'!$B$7:$D$904,1,0)),VLOOKUP($A24,'liste reference'!$A$7:$D$904,2,0))</f>
        <v>Diatoma sp.</v>
      </c>
      <c r="E24" s="501" t="e">
        <f aca="false">IF(D24="",0,VLOOKUP(D24,D$22:D23,1,0))</f>
        <v>#N/A</v>
      </c>
      <c r="F24" s="508" t="n">
        <f aca="false">($B24*$B$7+$C24*$C$7)/100</f>
        <v>0.0212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12</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6627</v>
      </c>
      <c r="Q24" s="491" t="n">
        <f aca="false">IF(ISTEXT(H24),"",(B24*$B$7/100)+(C24*$C$7/100))</f>
        <v>0.0212</v>
      </c>
      <c r="R24" s="492" t="n">
        <f aca="false">IF(OR(ISTEXT(H24),Q24=0),"",IF(Q24&lt;0.1,1,IF(Q24&lt;1,2,IF(Q24&lt;10,3,IF(Q24&lt;50,4,IF(Q24&gt;=50,5,""))))))</f>
        <v>1</v>
      </c>
      <c r="S24" s="492" t="n">
        <f aca="false">IF(ISERROR(R24*I24),0,R24*I24)</f>
        <v>12</v>
      </c>
      <c r="T24" s="492" t="n">
        <f aca="false">IF(ISERROR(R24*I24*J24),0,R24*I24*J24)</f>
        <v>24</v>
      </c>
      <c r="U24" s="506" t="n">
        <f aca="false">IF(ISERROR(R24*J24),0,R24*J24)</f>
        <v>2</v>
      </c>
      <c r="V24" s="493" t="n">
        <v>2</v>
      </c>
      <c r="W24" s="494"/>
      <c r="Y24" s="495" t="str">
        <f aca="false">IF(A24="new.cod","NEWCOD",IF(AND((Z24=""),ISTEXT(A24)),A24,IF(Z24="","",INDEX('liste reference'!$A$7:$A$904,Z24))))</f>
        <v>DIASPX</v>
      </c>
      <c r="Z24" s="284" t="n">
        <f aca="false">IF(ISERROR(MATCH(A24,'liste reference'!$A$7:$A$904,0)),IF(ISERROR(MATCH(A24,'liste reference'!$B$7:$B$904,0)),"",(MATCH(A24,'liste reference'!$B$7:$B$904,0))),(MATCH(A24,'liste reference'!$A$7:$A$904,0)))</f>
        <v>27</v>
      </c>
      <c r="AA24" s="496"/>
      <c r="AB24" s="497"/>
      <c r="AC24" s="497"/>
      <c r="BC24" s="284" t="n">
        <f aca="false">IF(A24="","",1)</f>
        <v>1</v>
      </c>
    </row>
    <row r="25" customFormat="false" ht="12.75" hidden="false" customHeight="false" outlineLevel="0" collapsed="false">
      <c r="A25" s="498" t="s">
        <v>135</v>
      </c>
      <c r="B25" s="499" t="n">
        <v>0.6</v>
      </c>
      <c r="C25" s="500" t="n">
        <v>0.8</v>
      </c>
      <c r="D25" s="501" t="str">
        <f aca="false">IF(ISERROR(VLOOKUP($A25,'liste reference'!$A$7:$D$904,2,0)),IF(ISERROR(VLOOKUP($A25,'liste reference'!$B$7:$D$904,1,0)),"",VLOOKUP($A25,'liste reference'!$B$7:$D$904,1,0)),VLOOKUP($A25,'liste reference'!$A$7:$D$904,2,0))</f>
        <v>Enteromorpha intestinalis</v>
      </c>
      <c r="E25" s="501" t="e">
        <f aca="false">IF(D25="",0,VLOOKUP(D25,D$22:D24,1,0))</f>
        <v>#N/A</v>
      </c>
      <c r="F25" s="508" t="n">
        <f aca="false">($B25*$B$7+$C25*$C$7)/100</f>
        <v>0.744</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3</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Enteromorpha intestinalis</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1144</v>
      </c>
      <c r="Q25" s="491" t="n">
        <f aca="false">IF(ISTEXT(H25),"",(B25*$B$7/100)+(C25*$C$7/100))</f>
        <v>0.744</v>
      </c>
      <c r="R25" s="492" t="n">
        <f aca="false">IF(OR(ISTEXT(H25),Q25=0),"",IF(Q25&lt;0.1,1,IF(Q25&lt;1,2,IF(Q25&lt;10,3,IF(Q25&lt;50,4,IF(Q25&gt;=50,5,""))))))</f>
        <v>2</v>
      </c>
      <c r="S25" s="492" t="n">
        <f aca="false">IF(ISERROR(R25*I25),0,R25*I25)</f>
        <v>6</v>
      </c>
      <c r="T25" s="492" t="n">
        <f aca="false">IF(ISERROR(R25*I25*J25),0,R25*I25*J25)</f>
        <v>12</v>
      </c>
      <c r="U25" s="506" t="n">
        <f aca="false">IF(ISERROR(R25*J25),0,R25*J25)</f>
        <v>4</v>
      </c>
      <c r="V25" s="493" t="n">
        <v>4</v>
      </c>
      <c r="W25" s="494"/>
      <c r="X25" s="494"/>
      <c r="Y25" s="495" t="str">
        <f aca="false">IF(A25="new.cod","NEWCOD",IF(AND((Z25=""),ISTEXT(A25)),A25,IF(Z25="","",INDEX('liste reference'!$A$7:$A$904,Z25))))</f>
        <v>ENTSPX</v>
      </c>
      <c r="Z25" s="284" t="n">
        <f aca="false">IF(ISERROR(MATCH(A25,'liste reference'!$A$7:$A$904,0)),IF(ISERROR(MATCH(A25,'liste reference'!$B$7:$B$904,0)),"",(MATCH(A25,'liste reference'!$B$7:$B$904,0))),(MATCH(A25,'liste reference'!$A$7:$A$904,0)))</f>
        <v>29</v>
      </c>
      <c r="AA25" s="496"/>
      <c r="AB25" s="497"/>
      <c r="AC25" s="497"/>
      <c r="BC25" s="284" t="n">
        <f aca="false">IF(A25="","",1)</f>
        <v>1</v>
      </c>
    </row>
    <row r="26" customFormat="false" ht="12.75" hidden="false" customHeight="false" outlineLevel="0" collapsed="false">
      <c r="A26" s="498" t="s">
        <v>221</v>
      </c>
      <c r="B26" s="499" t="n">
        <v>0.005</v>
      </c>
      <c r="C26" s="500"/>
      <c r="D26" s="501" t="str">
        <f aca="false">IF(ISERROR(VLOOKUP($A26,'liste reference'!$A$7:$D$904,2,0)),IF(ISERROR(VLOOKUP($A26,'liste reference'!$B$7:$D$904,1,0)),"",VLOOKUP($A26,'liste reference'!$B$7:$D$904,1,0)),VLOOKUP($A26,'liste reference'!$A$7:$D$904,2,0))</f>
        <v>Nostoc sp.</v>
      </c>
      <c r="E26" s="501" t="e">
        <f aca="false">IF(D26="",0,VLOOKUP(D26,D$18:D22,1,0))</f>
        <v>#N/A</v>
      </c>
      <c r="F26" s="508" t="n">
        <f aca="false">($B26*$B$7+$C26*$C$7)/100</f>
        <v>0.0014</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9</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1105</v>
      </c>
      <c r="Q26" s="491" t="n">
        <f aca="false">IF(ISTEXT(H26),"",(B26*$B$7/100)+(C26*$C$7/100))</f>
        <v>0.0014</v>
      </c>
      <c r="R26" s="492" t="n">
        <f aca="false">IF(OR(ISTEXT(H26),Q26=0),"",IF(Q26&lt;0.1,1,IF(Q26&lt;1,2,IF(Q26&lt;10,3,IF(Q26&lt;50,4,IF(Q26&gt;=50,5,""))))))</f>
        <v>1</v>
      </c>
      <c r="S26" s="492" t="n">
        <f aca="false">IF(ISERROR(R26*I26),0,R26*I26)</f>
        <v>9</v>
      </c>
      <c r="T26" s="492" t="n">
        <f aca="false">IF(ISERROR(R26*I26*J26),0,R26*I26*J26)</f>
        <v>9</v>
      </c>
      <c r="U26" s="506" t="n">
        <f aca="false">IF(ISERROR(R26*J26),0,R26*J26)</f>
        <v>1</v>
      </c>
      <c r="V26" s="493" t="n">
        <v>1</v>
      </c>
      <c r="W26" s="494"/>
      <c r="Y26" s="495" t="str">
        <f aca="false">IF(A26="new.cod","NEWCOD",IF(AND((Z26=""),ISTEXT(A26)),A26,IF(Z26="","",INDEX('liste reference'!$A$7:$A$904,Z26))))</f>
        <v>NOSSPX</v>
      </c>
      <c r="Z26" s="284" t="n">
        <f aca="false">IF(ISERROR(MATCH(A26,'liste reference'!$A$7:$A$904,0)),IF(ISERROR(MATCH(A26,'liste reference'!$B$7:$B$904,0)),"",(MATCH(A26,'liste reference'!$B$7:$B$904,0))),(MATCH(A26,'liste reference'!$A$7:$A$904,0)))</f>
        <v>55</v>
      </c>
      <c r="AA26" s="496"/>
      <c r="AB26" s="497"/>
      <c r="AC26" s="497"/>
      <c r="BC26" s="284" t="n">
        <f aca="false">IF(A26="","",1)</f>
        <v>1</v>
      </c>
    </row>
    <row r="27" customFormat="false" ht="12.75" hidden="false" customHeight="false" outlineLevel="0" collapsed="false">
      <c r="A27" s="498" t="s">
        <v>229</v>
      </c>
      <c r="B27" s="499" t="n">
        <v>0.5</v>
      </c>
      <c r="C27" s="500" t="n">
        <v>0.02</v>
      </c>
      <c r="D27" s="501" t="str">
        <f aca="false">IF(ISERROR(VLOOKUP($A27,'liste reference'!$A$7:$D$904,2,0)),IF(ISERROR(VLOOKUP($A27,'liste reference'!$B$7:$D$904,1,0)),"",VLOOKUP($A27,'liste reference'!$B$7:$D$904,1,0)),VLOOKUP($A27,'liste reference'!$A$7:$D$904,2,0))</f>
        <v>Phormidium sp.</v>
      </c>
      <c r="E27" s="501" t="e">
        <f aca="false">IF(D27="",0,VLOOKUP(D27,D$20:D22,1,0))</f>
        <v>#N/A</v>
      </c>
      <c r="F27" s="508" t="n">
        <f aca="false">($B27*$B$7+$C27*$C$7)/100</f>
        <v>0.1544</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13</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6414</v>
      </c>
      <c r="Q27" s="491" t="n">
        <f aca="false">IF(ISTEXT(H27),"",(B27*$B$7/100)+(C27*$C$7/100))</f>
        <v>0.1544</v>
      </c>
      <c r="R27" s="492" t="n">
        <f aca="false">IF(OR(ISTEXT(H27),Q27=0),"",IF(Q27&lt;0.1,1,IF(Q27&lt;1,2,IF(Q27&lt;10,3,IF(Q27&lt;50,4,IF(Q27&gt;=50,5,""))))))</f>
        <v>2</v>
      </c>
      <c r="S27" s="492" t="n">
        <f aca="false">IF(ISERROR(R27*I27),0,R27*I27)</f>
        <v>26</v>
      </c>
      <c r="T27" s="492" t="n">
        <f aca="false">IF(ISERROR(R27*I27*J27),0,R27*I27*J27)</f>
        <v>52</v>
      </c>
      <c r="U27" s="506" t="n">
        <f aca="false">IF(ISERROR(R27*J27),0,R27*J27)</f>
        <v>4</v>
      </c>
      <c r="V27" s="493" t="n">
        <v>4</v>
      </c>
      <c r="W27" s="494"/>
      <c r="Y27" s="495" t="str">
        <f aca="false">IF(A27="new.cod","NEWCOD",IF(AND((Z27=""),ISTEXT(A27)),A27,IF(Z27="","",INDEX('liste reference'!$A$7:$A$904,Z27))))</f>
        <v>PHOSPX</v>
      </c>
      <c r="Z27" s="284" t="n">
        <f aca="false">IF(ISERROR(MATCH(A27,'liste reference'!$A$7:$A$904,0)),IF(ISERROR(MATCH(A27,'liste reference'!$B$7:$B$904,0)),"",(MATCH(A27,'liste reference'!$B$7:$B$904,0))),(MATCH(A27,'liste reference'!$A$7:$A$904,0)))</f>
        <v>58</v>
      </c>
      <c r="AA27" s="496"/>
      <c r="AB27" s="497"/>
      <c r="AC27" s="497"/>
      <c r="BC27" s="284" t="n">
        <f aca="false">IF(A27="","",1)</f>
        <v>1</v>
      </c>
    </row>
    <row r="28" customFormat="false" ht="12.75" hidden="false" customHeight="false" outlineLevel="0" collapsed="false">
      <c r="A28" s="498" t="s">
        <v>259</v>
      </c>
      <c r="B28" s="499" t="n">
        <v>0.05</v>
      </c>
      <c r="C28" s="500"/>
      <c r="D28" s="501" t="str">
        <f aca="false">IF(ISERROR(VLOOKUP($A28,'liste reference'!$A$7:$D$904,2,0)),IF(ISERROR(VLOOKUP($A28,'liste reference'!$B$7:$D$904,1,0)),"",VLOOKUP($A28,'liste reference'!$B$7:$D$904,1,0)),VLOOKUP($A28,'liste reference'!$A$7:$D$904,2,0))</f>
        <v>Spirogyra sp.</v>
      </c>
      <c r="E28" s="501" t="e">
        <f aca="false">IF(D28="",0,VLOOKUP(D28,D$22:D27,1,0))</f>
        <v>#N/A</v>
      </c>
      <c r="F28" s="508" t="n">
        <f aca="false">($B28*$B$7+$C28*$C$7)/100</f>
        <v>0.014</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10</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1147</v>
      </c>
      <c r="Q28" s="491" t="n">
        <f aca="false">IF(ISTEXT(H28),"",(B28*$B$7/100)+(C28*$C$7/100))</f>
        <v>0.014</v>
      </c>
      <c r="R28" s="492" t="n">
        <f aca="false">IF(OR(ISTEXT(H28),Q28=0),"",IF(Q28&lt;0.1,1,IF(Q28&lt;1,2,IF(Q28&lt;10,3,IF(Q28&lt;50,4,IF(Q28&gt;=50,5,""))))))</f>
        <v>1</v>
      </c>
      <c r="S28" s="492" t="n">
        <f aca="false">IF(ISERROR(R28*I28),0,R28*I28)</f>
        <v>10</v>
      </c>
      <c r="T28" s="492" t="n">
        <f aca="false">IF(ISERROR(R28*I28*J28),0,R28*I28*J28)</f>
        <v>10</v>
      </c>
      <c r="U28" s="506" t="n">
        <f aca="false">IF(ISERROR(R28*J28),0,R28*J28)</f>
        <v>1</v>
      </c>
      <c r="V28" s="493" t="n">
        <v>1</v>
      </c>
      <c r="W28" s="494"/>
      <c r="Y28" s="495" t="str">
        <f aca="false">IF(A28="new.cod","NEWCOD",IF(AND((Z28=""),ISTEXT(A28)),A28,IF(Z28="","",INDEX('liste reference'!$A$7:$A$904,Z28))))</f>
        <v>SPISPX</v>
      </c>
      <c r="Z28" s="284" t="n">
        <f aca="false">IF(ISERROR(MATCH(A28,'liste reference'!$A$7:$A$904,0)),IF(ISERROR(MATCH(A28,'liste reference'!$B$7:$B$904,0)),"",(MATCH(A28,'liste reference'!$B$7:$B$904,0))),(MATCH(A28,'liste reference'!$A$7:$A$904,0)))</f>
        <v>70</v>
      </c>
      <c r="AA28" s="496"/>
      <c r="AB28" s="497"/>
      <c r="AC28" s="497"/>
      <c r="BC28" s="284" t="n">
        <f aca="false">IF(A28="","",1)</f>
        <v>1</v>
      </c>
    </row>
    <row r="29" customFormat="false" ht="12.75" hidden="false" customHeight="false" outlineLevel="0" collapsed="false">
      <c r="A29" s="498" t="s">
        <v>302</v>
      </c>
      <c r="B29" s="499" t="n">
        <v>0.2</v>
      </c>
      <c r="C29" s="500"/>
      <c r="D29" s="501" t="str">
        <f aca="false">IF(ISERROR(VLOOKUP($A29,'liste reference'!$A$7:$D$904,2,0)),IF(ISERROR(VLOOKUP($A29,'liste reference'!$B$7:$D$904,1,0)),"",VLOOKUP($A29,'liste reference'!$B$7:$D$904,1,0)),VLOOKUP($A29,'liste reference'!$A$7:$D$904,2,0))</f>
        <v>Vaucheria sp.</v>
      </c>
      <c r="E29" s="501" t="e">
        <f aca="false">IF(D29="",0,VLOOKUP(D29,D$22:D28,1,0))</f>
        <v>#N/A</v>
      </c>
      <c r="F29" s="508" t="n">
        <f aca="false">($B29*$B$7+$C29*$C$7)/100</f>
        <v>0.056</v>
      </c>
      <c r="G29" s="503" t="str">
        <f aca="false">IF(A29="","",IF(ISERROR(VLOOKUP($A29,'liste reference'!$A$7:$P$904,13,0)),IF(ISERROR(VLOOKUP($A29,'liste reference'!$B$7:$P$904,12,0)),"    -",VLOOKUP($A29,'liste reference'!$B$7:$P$904,12,0)),VLOOKUP($A29,'liste reference'!$A$7:$P$904,13,0)))</f>
        <v>ALG</v>
      </c>
      <c r="H29" s="484" t="n">
        <f aca="false">IF(A29="","x",IF(ISERROR(VLOOKUP($A29,'liste reference'!$A$7:$P$904,14,0)),IF(ISERROR(VLOOKUP($A29,'liste reference'!$B$7:$P$904,13,0)),"x",VLOOKUP($A29,'liste reference'!$B$7:$P$904,13,0)),VLOOKUP($A29,'liste reference'!$A$7:$P$904,14,0)))</f>
        <v>2</v>
      </c>
      <c r="I29" s="504" t="n">
        <f aca="false">IF(ISNUMBER(H29),IF(ISERROR(VLOOKUP($A29,'liste reference'!$A$7:$P$904,3,0)),IF(ISERROR(VLOOKUP($A29,'liste reference'!$B$7:$P$904,2,0)),"",VLOOKUP($A29,'liste reference'!$B$7:$P$904,2,0)),VLOOKUP($A29,'liste reference'!$A$7:$P$904,3,0)),"")</f>
        <v>4</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6193</v>
      </c>
      <c r="Q29" s="491" t="n">
        <f aca="false">IF(ISTEXT(H29),"",(B29*$B$7/100)+(C29*$C$7/100))</f>
        <v>0.056</v>
      </c>
      <c r="R29" s="492" t="n">
        <f aca="false">IF(OR(ISTEXT(H29),Q29=0),"",IF(Q29&lt;0.1,1,IF(Q29&lt;1,2,IF(Q29&lt;10,3,IF(Q29&lt;50,4,IF(Q29&gt;=50,5,""))))))</f>
        <v>1</v>
      </c>
      <c r="S29" s="492" t="n">
        <f aca="false">IF(ISERROR(R29*I29),0,R29*I29)</f>
        <v>4</v>
      </c>
      <c r="T29" s="492" t="n">
        <f aca="false">IF(ISERROR(R29*I29*J29),0,R29*I29*J29)</f>
        <v>4</v>
      </c>
      <c r="U29" s="506" t="n">
        <f aca="false">IF(ISERROR(R29*J29),0,R29*J29)</f>
        <v>1</v>
      </c>
      <c r="V29" s="493" t="n">
        <v>1</v>
      </c>
      <c r="W29" s="494"/>
      <c r="Y29" s="495" t="str">
        <f aca="false">IF(A29="new.cod","NEWCOD",IF(AND((Z29=""),ISTEXT(A29)),A29,IF(Z29="","",INDEX('liste reference'!$A$7:$A$904,Z29))))</f>
        <v>VAUSPX</v>
      </c>
      <c r="Z29" s="284" t="n">
        <f aca="false">IF(ISERROR(MATCH(A29,'liste reference'!$A$7:$A$904,0)),IF(ISERROR(MATCH(A29,'liste reference'!$B$7:$B$904,0)),"",(MATCH(A29,'liste reference'!$B$7:$B$904,0))),(MATCH(A29,'liste reference'!$A$7:$A$904,0)))</f>
        <v>83</v>
      </c>
      <c r="AA29" s="496"/>
      <c r="AB29" s="497"/>
      <c r="AC29" s="497"/>
      <c r="BC29" s="284" t="n">
        <f aca="false">IF(A29="","",1)</f>
        <v>1</v>
      </c>
    </row>
    <row r="30" customFormat="false" ht="12.75" hidden="false" customHeight="false" outlineLevel="0" collapsed="false">
      <c r="A30" s="498" t="s">
        <v>854</v>
      </c>
      <c r="B30" s="499"/>
      <c r="C30" s="500" t="n">
        <v>0.005</v>
      </c>
      <c r="D30" s="501" t="str">
        <f aca="false">IF(ISERROR(VLOOKUP($A30,'liste reference'!$A$7:$D$904,2,0)),IF(ISERROR(VLOOKUP($A30,'liste reference'!$B$7:$D$904,1,0)),"",VLOOKUP($A30,'liste reference'!$B$7:$D$904,1,0)),VLOOKUP($A30,'liste reference'!$A$7:$D$904,2,0))</f>
        <v>Fissidens crassipes</v>
      </c>
      <c r="E30" s="501" t="e">
        <f aca="false">IF(D30="",0,VLOOKUP(D30,D$22:D29,1,0))</f>
        <v>#N/A</v>
      </c>
      <c r="F30" s="508" t="n">
        <f aca="false">($B30*$B$7+$C30*$C$7)/100</f>
        <v>0.0036</v>
      </c>
      <c r="G30" s="503" t="str">
        <f aca="false">IF(A30="","",IF(ISERROR(VLOOKUP($A30,'liste reference'!$A$7:$P$904,13,0)),IF(ISERROR(VLOOKUP($A30,'liste reference'!$B$7:$P$904,12,0)),"    -",VLOOKUP($A30,'liste reference'!$B$7:$P$904,12,0)),VLOOKUP($A30,'liste reference'!$A$7:$P$904,13,0)))</f>
        <v>BRm</v>
      </c>
      <c r="H30" s="484" t="n">
        <f aca="false">IF(A30="","x",IF(ISERROR(VLOOKUP($A30,'liste reference'!$A$7:$P$904,14,0)),IF(ISERROR(VLOOKUP($A30,'liste reference'!$B$7:$P$904,13,0)),"x",VLOOKUP($A30,'liste reference'!$B$7:$P$904,13,0)),VLOOKUP($A30,'liste reference'!$A$7:$P$904,14,0)))</f>
        <v>5</v>
      </c>
      <c r="I30" s="504" t="n">
        <f aca="false">IF(ISNUMBER(H30),IF(ISERROR(VLOOKUP($A30,'liste reference'!$A$7:$P$904,3,0)),IF(ISERROR(VLOOKUP($A30,'liste reference'!$B$7:$P$904,2,0)),"",VLOOKUP($A30,'liste reference'!$B$7:$P$904,2,0)),VLOOKUP($A30,'liste reference'!$A$7:$P$904,3,0)),"")</f>
        <v>12</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1294</v>
      </c>
      <c r="Q30" s="491" t="n">
        <f aca="false">IF(ISTEXT(H30),"",(B30*$B$7/100)+(C30*$C$7/100))</f>
        <v>0.0036</v>
      </c>
      <c r="R30" s="492" t="n">
        <f aca="false">IF(OR(ISTEXT(H30),Q30=0),"",IF(Q30&lt;0.1,1,IF(Q30&lt;1,2,IF(Q30&lt;10,3,IF(Q30&lt;50,4,IF(Q30&gt;=50,5,""))))))</f>
        <v>1</v>
      </c>
      <c r="S30" s="492" t="n">
        <f aca="false">IF(ISERROR(R30*I30),0,R30*I30)</f>
        <v>12</v>
      </c>
      <c r="T30" s="492" t="n">
        <f aca="false">IF(ISERROR(R30*I30*J30),0,R30*I30*J30)</f>
        <v>24</v>
      </c>
      <c r="U30" s="506" t="n">
        <f aca="false">IF(ISERROR(R30*J30),0,R30*J30)</f>
        <v>2</v>
      </c>
      <c r="V30" s="493" t="n">
        <v>2</v>
      </c>
      <c r="W30" s="494"/>
      <c r="Y30" s="495" t="str">
        <f aca="false">IF(A30="new.cod","NEWCOD",IF(AND((Z30=""),ISTEXT(A30)),A30,IF(Z30="","",INDEX('liste reference'!$A$7:$A$904,Z30))))</f>
        <v>FISCRA</v>
      </c>
      <c r="Z30" s="284" t="n">
        <f aca="false">IF(ISERROR(MATCH(A30,'liste reference'!$A$7:$A$904,0)),IF(ISERROR(MATCH(A30,'liste reference'!$B$7:$B$904,0)),"",(MATCH(A30,'liste reference'!$B$7:$B$904,0))),(MATCH(A30,'liste reference'!$A$7:$A$904,0)))</f>
        <v>198</v>
      </c>
      <c r="AA30" s="496"/>
      <c r="AB30" s="497"/>
      <c r="AC30" s="497"/>
      <c r="BC30" s="284" t="n">
        <f aca="false">IF(A30="","",1)</f>
        <v>1</v>
      </c>
    </row>
    <row r="31" customFormat="false" ht="12.75" hidden="false" customHeight="false" outlineLevel="0" collapsed="false">
      <c r="A31" s="498" t="s">
        <v>1157</v>
      </c>
      <c r="B31" s="499" t="n">
        <v>0.005</v>
      </c>
      <c r="C31" s="500"/>
      <c r="D31" s="501" t="str">
        <f aca="false">IF(ISERROR(VLOOKUP($A31,'liste reference'!$A$7:$D$904,2,0)),IF(ISERROR(VLOOKUP($A31,'liste reference'!$B$7:$D$904,1,0)),"",VLOOKUP($A31,'liste reference'!$B$7:$D$904,1,0)),VLOOKUP($A31,'liste reference'!$A$7:$D$904,2,0))</f>
        <v>Equisetum arvense</v>
      </c>
      <c r="E31" s="501" t="e">
        <f aca="false">IF(D31="",0,VLOOKUP(D31,D$22:D30,1,0))</f>
        <v>#N/A</v>
      </c>
      <c r="F31" s="508" t="n">
        <f aca="false">($B31*$B$7+$C31*$C$7)/100</f>
        <v>0.0014</v>
      </c>
      <c r="G31" s="503" t="str">
        <f aca="false">IF(A31="","",IF(ISERROR(VLOOKUP($A31,'liste reference'!$A$7:$P$904,13,0)),IF(ISERROR(VLOOKUP($A31,'liste reference'!$B$7:$P$904,12,0)),"    -",VLOOKUP($A31,'liste reference'!$B$7:$P$904,12,0)),VLOOKUP($A31,'liste reference'!$A$7:$P$904,13,0)))</f>
        <v>PTE</v>
      </c>
      <c r="H31" s="484" t="n">
        <f aca="false">IF(A31="","x",IF(ISERROR(VLOOKUP($A31,'liste reference'!$A$7:$P$904,14,0)),IF(ISERROR(VLOOKUP($A31,'liste reference'!$B$7:$P$904,13,0)),"x",VLOOKUP($A31,'liste reference'!$B$7:$P$904,13,0)),VLOOKUP($A31,'liste reference'!$A$7:$P$904,14,0)))</f>
        <v>6</v>
      </c>
      <c r="I31" s="504" t="n">
        <f aca="false">IF(ISNUMBER(H31),IF(ISERROR(VLOOKUP($A31,'liste reference'!$A$7:$P$904,3,0)),IF(ISERROR(VLOOKUP($A31,'liste reference'!$B$7:$P$904,2,0)),"",VLOOKUP($A31,'liste reference'!$B$7:$P$904,2,0)),VLOOKUP($A31,'liste reference'!$A$7:$P$904,3,0)),"")</f>
        <v>0</v>
      </c>
      <c r="J31" s="486" t="n">
        <f aca="false">IF(ISNUMBER(H31),IF(ISERROR(VLOOKUP($A31,'liste reference'!$A$7:$P$904,4,0)),IF(ISERROR(VLOOKUP($A31,'liste reference'!$B$7:$P$904,3,0)),"",VLOOKUP($A31,'liste reference'!$B$7:$P$904,3,0)),VLOOKUP($A31,'liste reference'!$A$7:$P$904,4,0)),"")</f>
        <v>0</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1384</v>
      </c>
      <c r="Q31" s="491" t="n">
        <f aca="false">IF(ISTEXT(H31),"",(B31*$B$7/100)+(C31*$C$7/100))</f>
        <v>0.0014</v>
      </c>
      <c r="R31" s="492" t="n">
        <f aca="false">IF(OR(ISTEXT(H31),Q31=0),"",IF(Q31&lt;0.1,1,IF(Q31&lt;1,2,IF(Q31&lt;10,3,IF(Q31&lt;50,4,IF(Q31&gt;=50,5,""))))))</f>
        <v>1</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EQUARV</v>
      </c>
      <c r="Z31" s="284" t="n">
        <f aca="false">IF(ISERROR(MATCH(A31,'liste reference'!$A$7:$A$904,0)),IF(ISERROR(MATCH(A31,'liste reference'!$B$7:$B$904,0)),"",(MATCH(A31,'liste reference'!$B$7:$B$904,0))),(MATCH(A31,'liste reference'!$A$7:$A$904,0)))</f>
        <v>279</v>
      </c>
      <c r="AA31" s="496"/>
      <c r="AB31" s="497"/>
      <c r="AC31" s="497"/>
      <c r="BC31" s="284" t="n">
        <f aca="false">IF(A31="","",1)</f>
        <v>1</v>
      </c>
    </row>
    <row r="32" customFormat="false" ht="12.75" hidden="false" customHeight="false" outlineLevel="0" collapsed="false">
      <c r="A32" s="498" t="s">
        <v>1228</v>
      </c>
      <c r="B32" s="499"/>
      <c r="C32" s="500" t="n">
        <v>0.005</v>
      </c>
      <c r="D32" s="501" t="str">
        <f aca="false">IF(ISERROR(VLOOKUP($A32,'liste reference'!$A$7:$D$904,2,0)),IF(ISERROR(VLOOKUP($A32,'liste reference'!$B$7:$D$904,1,0)),"",VLOOKUP($A32,'liste reference'!$B$7:$D$904,1,0)),VLOOKUP($A32,'liste reference'!$A$7:$D$904,2,0))</f>
        <v>Apium nodiflorum</v>
      </c>
      <c r="E32" s="501" t="e">
        <f aca="false">IF(D32="",0,VLOOKUP(D32,D$22:D31,1,0))</f>
        <v>#N/A</v>
      </c>
      <c r="F32" s="508" t="n">
        <f aca="false">($B32*$B$7+$C32*$C$7)/100</f>
        <v>0.0036</v>
      </c>
      <c r="G32" s="503" t="str">
        <f aca="false">IF(A32="","",IF(ISERROR(VLOOKUP($A32,'liste reference'!$A$7:$P$904,13,0)),IF(ISERROR(VLOOKUP($A32,'liste reference'!$B$7:$P$904,12,0)),"    -",VLOOKUP($A32,'liste reference'!$B$7:$P$904,12,0)),VLOOKUP($A32,'liste reference'!$A$7:$P$904,13,0)))</f>
        <v>PHy</v>
      </c>
      <c r="H32" s="484" t="n">
        <f aca="false">IF(A32="","x",IF(ISERROR(VLOOKUP($A32,'liste reference'!$A$7:$P$904,14,0)),IF(ISERROR(VLOOKUP($A32,'liste reference'!$B$7:$P$904,13,0)),"x",VLOOKUP($A32,'liste reference'!$B$7:$P$904,13,0)),VLOOKUP($A32,'liste reference'!$A$7:$P$904,14,0)))</f>
        <v>7</v>
      </c>
      <c r="I32" s="504" t="n">
        <f aca="false">IF(ISNUMBER(H32),IF(ISERROR(VLOOKUP($A32,'liste reference'!$A$7:$P$904,3,0)),IF(ISERROR(VLOOKUP($A32,'liste reference'!$B$7:$P$904,2,0)),"",VLOOKUP($A32,'liste reference'!$B$7:$P$904,2,0)),VLOOKUP($A32,'liste reference'!$A$7:$P$904,3,0)),"")</f>
        <v>10</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Apium nodiflorum</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1974</v>
      </c>
      <c r="Q32" s="491" t="n">
        <f aca="false">IF(ISTEXT(H32),"",(B32*$B$7/100)+(C32*$C$7/100))</f>
        <v>0.0036</v>
      </c>
      <c r="R32" s="492" t="n">
        <f aca="false">IF(OR(ISTEXT(H32),Q32=0),"",IF(Q32&lt;0.1,1,IF(Q32&lt;1,2,IF(Q32&lt;10,3,IF(Q32&lt;50,4,IF(Q32&gt;=50,5,""))))))</f>
        <v>1</v>
      </c>
      <c r="S32" s="492" t="n">
        <f aca="false">IF(ISERROR(R32*I32),0,R32*I32)</f>
        <v>10</v>
      </c>
      <c r="T32" s="492" t="n">
        <f aca="false">IF(ISERROR(R32*I32*J32),0,R32*I32*J32)</f>
        <v>10</v>
      </c>
      <c r="U32" s="506" t="n">
        <f aca="false">IF(ISERROR(R32*J32),0,R32*J32)</f>
        <v>1</v>
      </c>
      <c r="V32" s="493" t="n">
        <v>1</v>
      </c>
      <c r="W32" s="494"/>
      <c r="Y32" s="495" t="str">
        <f aca="false">IF(A32="new.cod","NEWCOD",IF(AND((Z32=""),ISTEXT(A32)),A32,IF(Z32="","",INDEX('liste reference'!$A$7:$A$904,Z32))))</f>
        <v>APINOD</v>
      </c>
      <c r="Z32" s="284" t="n">
        <f aca="false">IF(ISERROR(MATCH(A32,'liste reference'!$A$7:$A$904,0)),IF(ISERROR(MATCH(A32,'liste reference'!$B$7:$B$904,0)),"",(MATCH(A32,'liste reference'!$B$7:$B$904,0))),(MATCH(A32,'liste reference'!$A$7:$A$904,0)))</f>
        <v>310</v>
      </c>
      <c r="AA32" s="496"/>
      <c r="AB32" s="497"/>
      <c r="AC32" s="497"/>
      <c r="BC32" s="284" t="n">
        <f aca="false">IF(A32="","",1)</f>
        <v>1</v>
      </c>
    </row>
    <row r="33" customFormat="false" ht="12.75" hidden="false" customHeight="false" outlineLevel="0" collapsed="false">
      <c r="A33" s="498" t="s">
        <v>1386</v>
      </c>
      <c r="B33" s="499"/>
      <c r="C33" s="500" t="n">
        <v>0.1</v>
      </c>
      <c r="D33" s="501" t="str">
        <f aca="false">IF(ISERROR(VLOOKUP($A33,'liste reference'!$A$7:$D$904,2,0)),IF(ISERROR(VLOOKUP($A33,'liste reference'!$B$7:$D$904,1,0)),"",VLOOKUP($A33,'liste reference'!$B$7:$D$904,1,0)),VLOOKUP($A33,'liste reference'!$A$7:$D$904,2,0))</f>
        <v>Myriophyllum spicatum</v>
      </c>
      <c r="E33" s="501" t="e">
        <f aca="false">IF(D33="",0,VLOOKUP(D33,D$22:D32,1,0))</f>
        <v>#N/A</v>
      </c>
      <c r="F33" s="508" t="n">
        <f aca="false">($B33*$B$7+$C33*$C$7)/100</f>
        <v>0.072</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8</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Myriophyllum spicatum</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1778</v>
      </c>
      <c r="Q33" s="491" t="n">
        <f aca="false">IF(ISTEXT(H33),"",(B33*$B$7/100)+(C33*$C$7/100))</f>
        <v>0.072</v>
      </c>
      <c r="R33" s="492" t="n">
        <f aca="false">IF(OR(ISTEXT(H33),Q33=0),"",IF(Q33&lt;0.1,1,IF(Q33&lt;1,2,IF(Q33&lt;10,3,IF(Q33&lt;50,4,IF(Q33&gt;=50,5,""))))))</f>
        <v>1</v>
      </c>
      <c r="S33" s="492" t="n">
        <f aca="false">IF(ISERROR(R33*I33),0,R33*I33)</f>
        <v>8</v>
      </c>
      <c r="T33" s="492" t="n">
        <f aca="false">IF(ISERROR(R33*I33*J33),0,R33*I33*J33)</f>
        <v>16</v>
      </c>
      <c r="U33" s="506" t="n">
        <f aca="false">IF(ISERROR(R33*J33),0,R33*J33)</f>
        <v>2</v>
      </c>
      <c r="V33" s="493" t="n">
        <v>2</v>
      </c>
      <c r="W33" s="494"/>
      <c r="Y33" s="495" t="str">
        <f aca="false">IF(A33="new.cod","NEWCOD",IF(AND((Z33=""),ISTEXT(A33)),A33,IF(Z33="","",INDEX('liste reference'!$A$7:$A$904,Z33))))</f>
        <v>MYRSPI</v>
      </c>
      <c r="Z33" s="284" t="n">
        <f aca="false">IF(ISERROR(MATCH(A33,'liste reference'!$A$7:$A$904,0)),IF(ISERROR(MATCH(A33,'liste reference'!$B$7:$B$904,0)),"",(MATCH(A33,'liste reference'!$B$7:$B$904,0))),(MATCH(A33,'liste reference'!$A$7:$A$904,0)))</f>
        <v>377</v>
      </c>
      <c r="AA33" s="496"/>
      <c r="AB33" s="497"/>
      <c r="AC33" s="497"/>
      <c r="BC33" s="284" t="n">
        <f aca="false">IF(A33="","",1)</f>
        <v>1</v>
      </c>
    </row>
    <row r="34" customFormat="false" ht="12.75" hidden="false" customHeight="false" outlineLevel="0" collapsed="false">
      <c r="A34" s="498" t="s">
        <v>1488</v>
      </c>
      <c r="B34" s="499"/>
      <c r="C34" s="500" t="n">
        <v>0.9</v>
      </c>
      <c r="D34" s="501" t="str">
        <f aca="false">IF(ISERROR(VLOOKUP($A34,'liste reference'!$A$7:$D$904,2,0)),IF(ISERROR(VLOOKUP($A34,'liste reference'!$B$7:$D$904,1,0)),"",VLOOKUP($A34,'liste reference'!$B$7:$D$904,1,0)),VLOOKUP($A34,'liste reference'!$A$7:$D$904,2,0))</f>
        <v>Potamogeton nodosus</v>
      </c>
      <c r="E34" s="501" t="e">
        <f aca="false">IF(D34="",0,VLOOKUP(D34,D$22:D33,1,0))</f>
        <v>#N/A</v>
      </c>
      <c r="F34" s="508" t="n">
        <f aca="false">($B34*$B$7+$C34*$C$7)/100</f>
        <v>0.648</v>
      </c>
      <c r="G34" s="503" t="str">
        <f aca="false">IF(A34="","",IF(ISERROR(VLOOKUP($A34,'liste reference'!$A$7:$P$904,13,0)),IF(ISERROR(VLOOKUP($A34,'liste reference'!$B$7:$P$904,12,0)),"    -",VLOOKUP($A34,'liste reference'!$B$7:$P$904,12,0)),VLOOKUP($A34,'liste reference'!$A$7:$P$904,13,0)))</f>
        <v>PHy</v>
      </c>
      <c r="H34" s="484" t="n">
        <f aca="false">IF(A34="","x",IF(ISERROR(VLOOKUP($A34,'liste reference'!$A$7:$P$904,14,0)),IF(ISERROR(VLOOKUP($A34,'liste reference'!$B$7:$P$904,13,0)),"x",VLOOKUP($A34,'liste reference'!$B$7:$P$904,13,0)),VLOOKUP($A34,'liste reference'!$A$7:$P$904,14,0)))</f>
        <v>7</v>
      </c>
      <c r="I34" s="504" t="n">
        <f aca="false">IF(ISNUMBER(H34),IF(ISERROR(VLOOKUP($A34,'liste reference'!$A$7:$P$904,3,0)),IF(ISERROR(VLOOKUP($A34,'liste reference'!$B$7:$P$904,2,0)),"",VLOOKUP($A34,'liste reference'!$B$7:$P$904,2,0)),VLOOKUP($A34,'liste reference'!$A$7:$P$904,3,0)),"")</f>
        <v>4</v>
      </c>
      <c r="J34" s="486" t="n">
        <f aca="false">IF(ISNUMBER(H34),IF(ISERROR(VLOOKUP($A34,'liste reference'!$A$7:$P$904,4,0)),IF(ISERROR(VLOOKUP($A34,'liste reference'!$B$7:$P$904,3,0)),"",VLOOKUP($A34,'liste reference'!$B$7:$P$904,3,0)),VLOOKUP($A34,'liste reference'!$A$7:$P$904,4,0)),"")</f>
        <v>3</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nodosus</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1652</v>
      </c>
      <c r="Q34" s="491" t="n">
        <f aca="false">IF(ISTEXT(H34),"",(B34*$B$7/100)+(C34*$C$7/100))</f>
        <v>0.648</v>
      </c>
      <c r="R34" s="492" t="n">
        <f aca="false">IF(OR(ISTEXT(H34),Q34=0),"",IF(Q34&lt;0.1,1,IF(Q34&lt;1,2,IF(Q34&lt;10,3,IF(Q34&lt;50,4,IF(Q34&gt;=50,5,""))))))</f>
        <v>2</v>
      </c>
      <c r="S34" s="492" t="n">
        <f aca="false">IF(ISERROR(R34*I34),0,R34*I34)</f>
        <v>8</v>
      </c>
      <c r="T34" s="492" t="n">
        <f aca="false">IF(ISERROR(R34*I34*J34),0,R34*I34*J34)</f>
        <v>24</v>
      </c>
      <c r="U34" s="506" t="n">
        <f aca="false">IF(ISERROR(R34*J34),0,R34*J34)</f>
        <v>6</v>
      </c>
      <c r="V34" s="493" t="n">
        <v>6</v>
      </c>
      <c r="W34" s="494"/>
      <c r="Y34" s="495" t="str">
        <f aca="false">IF(A34="new.cod","NEWCOD",IF(AND((Z34=""),ISTEXT(A34)),A34,IF(Z34="","",INDEX('liste reference'!$A$7:$A$904,Z34))))</f>
        <v>POTNOD</v>
      </c>
      <c r="Z34" s="284" t="n">
        <f aca="false">IF(ISERROR(MATCH(A34,'liste reference'!$A$7:$A$904,0)),IF(ISERROR(MATCH(A34,'liste reference'!$B$7:$B$904,0)),"",(MATCH(A34,'liste reference'!$B$7:$B$904,0))),(MATCH(A34,'liste reference'!$A$7:$A$904,0)))</f>
        <v>422</v>
      </c>
      <c r="AA34" s="496"/>
      <c r="AB34" s="497"/>
      <c r="AC34" s="497"/>
      <c r="BC34" s="284" t="n">
        <f aca="false">IF(A34="","",1)</f>
        <v>1</v>
      </c>
    </row>
    <row r="35" customFormat="false" ht="12.75" hidden="false" customHeight="false" outlineLevel="0" collapsed="false">
      <c r="A35" s="498" t="s">
        <v>1696</v>
      </c>
      <c r="B35" s="499"/>
      <c r="C35" s="500" t="n">
        <v>0.02</v>
      </c>
      <c r="D35" s="501" t="str">
        <f aca="false">IF(ISERROR(VLOOKUP($A35,'liste reference'!$A$7:$D$904,2,0)),IF(ISERROR(VLOOKUP($A35,'liste reference'!$B$7:$D$904,1,0)),"",VLOOKUP($A35,'liste reference'!$B$7:$D$904,1,0)),VLOOKUP($A35,'liste reference'!$A$7:$D$904,2,0))</f>
        <v>Zannichellia palustris</v>
      </c>
      <c r="E35" s="501" t="e">
        <f aca="false">IF(D35="",0,VLOOKUP(D35,D$22:D34,1,0))</f>
        <v>#N/A</v>
      </c>
      <c r="F35" s="508" t="n">
        <f aca="false">($B35*$B$7+$C35*$C$7)/100</f>
        <v>0.0144</v>
      </c>
      <c r="G35" s="503" t="str">
        <f aca="false">IF(A35="","",IF(ISERROR(VLOOKUP($A35,'liste reference'!$A$7:$P$904,13,0)),IF(ISERROR(VLOOKUP($A35,'liste reference'!$B$7:$P$904,12,0)),"    -",VLOOKUP($A35,'liste reference'!$B$7:$P$904,12,0)),VLOOKUP($A35,'liste reference'!$A$7:$P$904,13,0)))</f>
        <v>PHy</v>
      </c>
      <c r="H35" s="484" t="n">
        <f aca="false">IF(A35="","x",IF(ISERROR(VLOOKUP($A35,'liste reference'!$A$7:$P$904,14,0)),IF(ISERROR(VLOOKUP($A35,'liste reference'!$B$7:$P$904,13,0)),"x",VLOOKUP($A35,'liste reference'!$B$7:$P$904,13,0)),VLOOKUP($A35,'liste reference'!$A$7:$P$904,14,0)))</f>
        <v>7</v>
      </c>
      <c r="I35" s="504" t="n">
        <f aca="false">IF(ISNUMBER(H35),IF(ISERROR(VLOOKUP($A35,'liste reference'!$A$7:$P$904,3,0)),IF(ISERROR(VLOOKUP($A35,'liste reference'!$B$7:$P$904,2,0)),"",VLOOKUP($A35,'liste reference'!$B$7:$P$904,2,0)),VLOOKUP($A35,'liste reference'!$A$7:$P$904,3,0)),"")</f>
        <v>5</v>
      </c>
      <c r="J35" s="486" t="n">
        <f aca="false">IF(ISNUMBER(H35),IF(ISERROR(VLOOKUP($A35,'liste reference'!$A$7:$P$904,4,0)),IF(ISERROR(VLOOKUP($A35,'liste reference'!$B$7:$P$904,3,0)),"",VLOOKUP($A35,'liste reference'!$B$7:$P$904,3,0)),VLOOKUP($A35,'liste reference'!$A$7:$P$904,4,0)),"")</f>
        <v>1</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Zannichellia palustris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1681</v>
      </c>
      <c r="Q35" s="491" t="n">
        <f aca="false">IF(ISTEXT(H35),"",(B35*$B$7/100)+(C35*$C$7/100))</f>
        <v>0.0144</v>
      </c>
      <c r="R35" s="492" t="n">
        <f aca="false">IF(OR(ISTEXT(H35),Q35=0),"",IF(Q35&lt;0.1,1,IF(Q35&lt;1,2,IF(Q35&lt;10,3,IF(Q35&lt;50,4,IF(Q35&gt;=50,5,""))))))</f>
        <v>1</v>
      </c>
      <c r="S35" s="492" t="n">
        <f aca="false">IF(ISERROR(R35*I35),0,R35*I35)</f>
        <v>5</v>
      </c>
      <c r="T35" s="492" t="n">
        <f aca="false">IF(ISERROR(R35*I35*J35),0,R35*I35*J35)</f>
        <v>5</v>
      </c>
      <c r="U35" s="506" t="n">
        <f aca="false">IF(ISERROR(R35*J35),0,R35*J35)</f>
        <v>1</v>
      </c>
      <c r="V35" s="493" t="n">
        <v>1</v>
      </c>
      <c r="W35" s="494"/>
      <c r="Y35" s="495" t="str">
        <f aca="false">IF(A35="new.cod","NEWCOD",IF(AND((Z35=""),ISTEXT(A35)),A35,IF(Z35="","",INDEX('liste reference'!$A$7:$A$904,Z35))))</f>
        <v>ZANPAL</v>
      </c>
      <c r="Z35" s="284" t="n">
        <f aca="false">IF(ISERROR(MATCH(A35,'liste reference'!$A$7:$A$904,0)),IF(ISERROR(MATCH(A35,'liste reference'!$B$7:$B$904,0)),"",(MATCH(A35,'liste reference'!$B$7:$B$904,0))),(MATCH(A35,'liste reference'!$A$7:$A$904,0)))</f>
        <v>509</v>
      </c>
      <c r="AA35" s="496"/>
      <c r="AB35" s="497"/>
      <c r="AC35" s="497"/>
      <c r="BC35" s="284" t="n">
        <f aca="false">IF(A35="","",1)</f>
        <v>1</v>
      </c>
    </row>
    <row r="36" customFormat="false" ht="12.75" hidden="false" customHeight="false" outlineLevel="0" collapsed="false">
      <c r="A36" s="498" t="s">
        <v>1722</v>
      </c>
      <c r="B36" s="499" t="n">
        <v>0.1</v>
      </c>
      <c r="C36" s="500" t="n">
        <v>0.02</v>
      </c>
      <c r="D36" s="501" t="str">
        <f aca="false">IF(ISERROR(VLOOKUP($A36,'liste reference'!$A$7:$D$904,2,0)),IF(ISERROR(VLOOKUP($A36,'liste reference'!$B$7:$D$904,1,0)),"",VLOOKUP($A36,'liste reference'!$B$7:$D$904,1,0)),VLOOKUP($A36,'liste reference'!$A$7:$D$904,2,0))</f>
        <v>Agrostis stolonifera</v>
      </c>
      <c r="E36" s="501" t="e">
        <f aca="false">IF(D36="",0,VLOOKUP(D36,D$22:D35,1,0))</f>
        <v>#N/A</v>
      </c>
      <c r="F36" s="508" t="n">
        <f aca="false">($B36*$B$7+$C36*$C$7)/100</f>
        <v>0.0424</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10</v>
      </c>
      <c r="J36" s="486" t="n">
        <f aca="false">IF(ISNUMBER(H36),IF(ISERROR(VLOOKUP($A36,'liste reference'!$A$7:$P$904,4,0)),IF(ISERROR(VLOOKUP($A36,'liste reference'!$B$7:$P$904,3,0)),"",VLOOKUP($A36,'liste reference'!$B$7:$P$904,3,0)),VLOOKUP($A36,'liste reference'!$A$7:$P$904,4,0)),"")</f>
        <v>1</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1543</v>
      </c>
      <c r="Q36" s="491" t="n">
        <f aca="false">IF(ISTEXT(H36),"",(B36*$B$7/100)+(C36*$C$7/100))</f>
        <v>0.0424</v>
      </c>
      <c r="R36" s="492" t="n">
        <f aca="false">IF(OR(ISTEXT(H36),Q36=0),"",IF(Q36&lt;0.1,1,IF(Q36&lt;1,2,IF(Q36&lt;10,3,IF(Q36&lt;50,4,IF(Q36&gt;=50,5,""))))))</f>
        <v>1</v>
      </c>
      <c r="S36" s="492" t="n">
        <f aca="false">IF(ISERROR(R36*I36),0,R36*I36)</f>
        <v>10</v>
      </c>
      <c r="T36" s="492" t="n">
        <f aca="false">IF(ISERROR(R36*I36*J36),0,R36*I36*J36)</f>
        <v>10</v>
      </c>
      <c r="U36" s="506" t="n">
        <f aca="false">IF(ISERROR(R36*J36),0,R36*J36)</f>
        <v>1</v>
      </c>
      <c r="V36" s="493" t="n">
        <v>1</v>
      </c>
      <c r="W36" s="494"/>
      <c r="Y36" s="495" t="str">
        <f aca="false">IF(A36="new.cod","NEWCOD",IF(AND((Z36=""),ISTEXT(A36)),A36,IF(Z36="","",INDEX('liste reference'!$A$7:$A$904,Z36))))</f>
        <v>AGRSTO</v>
      </c>
      <c r="Z36" s="284" t="n">
        <f aca="false">IF(ISERROR(MATCH(A36,'liste reference'!$A$7:$A$904,0)),IF(ISERROR(MATCH(A36,'liste reference'!$B$7:$B$904,0)),"",(MATCH(A36,'liste reference'!$B$7:$B$904,0))),(MATCH(A36,'liste reference'!$A$7:$A$904,0)))</f>
        <v>520</v>
      </c>
      <c r="AA36" s="496" t="s">
        <v>2720</v>
      </c>
      <c r="AB36" s="497"/>
      <c r="AC36" s="497"/>
      <c r="BC36" s="284" t="n">
        <f aca="false">IF(A36="","",1)</f>
        <v>1</v>
      </c>
    </row>
    <row r="37" customFormat="false" ht="12.75" hidden="false" customHeight="false" outlineLevel="0" collapsed="false">
      <c r="A37" s="498" t="s">
        <v>1922</v>
      </c>
      <c r="B37" s="499" t="n">
        <v>0.2</v>
      </c>
      <c r="C37" s="500" t="n">
        <v>0.05</v>
      </c>
      <c r="D37" s="501" t="str">
        <f aca="false">IF(ISERROR(VLOOKUP($A37,'liste reference'!$A$7:$D$904,2,0)),IF(ISERROR(VLOOKUP($A37,'liste reference'!$B$7:$D$904,1,0)),"",VLOOKUP($A37,'liste reference'!$B$7:$D$904,1,0)),VLOOKUP($A37,'liste reference'!$A$7:$D$904,2,0))</f>
        <v>Ludwigia peploides</v>
      </c>
      <c r="E37" s="501" t="e">
        <f aca="false">IF(D37="",0,VLOOKUP(D37,D$22:D36,1,0))</f>
        <v>#N/A</v>
      </c>
      <c r="F37" s="508" t="n">
        <f aca="false">($B37*$B$7+$C37*$C$7)/100</f>
        <v>0.092</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Ludwigia peploides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1856</v>
      </c>
      <c r="Q37" s="491" t="n">
        <f aca="false">IF(ISTEXT(H37),"",(B37*$B$7/100)+(C37*$C$7/100))</f>
        <v>0.092</v>
      </c>
      <c r="R37" s="492" t="n">
        <f aca="false">IF(OR(ISTEXT(H37),Q37=0),"",IF(Q37&lt;0.1,1,IF(Q37&lt;1,2,IF(Q37&lt;10,3,IF(Q37&lt;50,4,IF(Q37&gt;=50,5,""))))))</f>
        <v>1</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LUDPEP</v>
      </c>
      <c r="Z37" s="284" t="n">
        <f aca="false">IF(ISERROR(MATCH(A37,'liste reference'!$A$7:$A$904,0)),IF(ISERROR(MATCH(A37,'liste reference'!$B$7:$B$904,0)),"",(MATCH(A37,'liste reference'!$B$7:$B$904,0))),(MATCH(A37,'liste reference'!$A$7:$A$904,0)))</f>
        <v>600</v>
      </c>
      <c r="AA37" s="496"/>
      <c r="AB37" s="497"/>
      <c r="AC37" s="497"/>
      <c r="BC37" s="284" t="n">
        <f aca="false">IF(A37="","",1)</f>
        <v>1</v>
      </c>
    </row>
    <row r="38" customFormat="false" ht="12.75" hidden="false" customHeight="false" outlineLevel="0" collapsed="false">
      <c r="A38" s="498" t="s">
        <v>1927</v>
      </c>
      <c r="B38" s="499"/>
      <c r="C38" s="500" t="n">
        <v>0.005</v>
      </c>
      <c r="D38" s="501" t="str">
        <f aca="false">IF(ISERROR(VLOOKUP($A38,'liste reference'!$A$7:$D$904,2,0)),IF(ISERROR(VLOOKUP($A38,'liste reference'!$B$7:$D$904,1,0)),"",VLOOKUP($A38,'liste reference'!$B$7:$D$904,1,0)),VLOOKUP($A38,'liste reference'!$A$7:$D$904,2,0))</f>
        <v>Lycopus europaeus</v>
      </c>
      <c r="E38" s="501" t="e">
        <f aca="false">IF(D38="",0,VLOOKUP(D38,D$22:D37,1,0))</f>
        <v>#N/A</v>
      </c>
      <c r="F38" s="508" t="n">
        <f aca="false">($B38*$B$7+$C38*$C$7)/100</f>
        <v>0.0036</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11</v>
      </c>
      <c r="J38" s="486" t="n">
        <f aca="false">IF(ISNUMBER(H38),IF(ISERROR(VLOOKUP($A38,'liste reference'!$A$7:$P$904,4,0)),IF(ISERROR(VLOOKUP($A38,'liste reference'!$B$7:$P$904,3,0)),"",VLOOKUP($A38,'liste reference'!$B$7:$P$904,3,0)),VLOOKUP($A38,'liste reference'!$A$7:$P$904,4,0)),"")</f>
        <v>1</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Lycopus europaeus</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1789</v>
      </c>
      <c r="Q38" s="491" t="n">
        <f aca="false">IF(ISTEXT(H38),"",(B38*$B$7/100)+(C38*$C$7/100))</f>
        <v>0.0036</v>
      </c>
      <c r="R38" s="492" t="n">
        <f aca="false">IF(OR(ISTEXT(H38),Q38=0),"",IF(Q38&lt;0.1,1,IF(Q38&lt;1,2,IF(Q38&lt;10,3,IF(Q38&lt;50,4,IF(Q38&gt;=50,5,""))))))</f>
        <v>1</v>
      </c>
      <c r="S38" s="492" t="n">
        <f aca="false">IF(ISERROR(R38*I38),0,R38*I38)</f>
        <v>11</v>
      </c>
      <c r="T38" s="492" t="n">
        <f aca="false">IF(ISERROR(R38*I38*J38),0,R38*I38*J38)</f>
        <v>11</v>
      </c>
      <c r="U38" s="506" t="n">
        <f aca="false">IF(ISERROR(R38*J38),0,R38*J38)</f>
        <v>1</v>
      </c>
      <c r="V38" s="493" t="n">
        <v>1</v>
      </c>
      <c r="W38" s="494"/>
      <c r="Y38" s="495" t="str">
        <f aca="false">IF(A38="new.cod","NEWCOD",IF(AND((Z38=""),ISTEXT(A38)),A38,IF(Z38="","",INDEX('liste reference'!$A$7:$A$904,Z38))))</f>
        <v>LYCEUR</v>
      </c>
      <c r="Z38" s="284" t="n">
        <f aca="false">IF(ISERROR(MATCH(A38,'liste reference'!$A$7:$A$904,0)),IF(ISERROR(MATCH(A38,'liste reference'!$B$7:$B$904,0)),"",(MATCH(A38,'liste reference'!$B$7:$B$904,0))),(MATCH(A38,'liste reference'!$A$7:$A$904,0)))</f>
        <v>602</v>
      </c>
      <c r="AA38" s="496"/>
      <c r="AB38" s="497"/>
      <c r="AC38" s="497"/>
      <c r="BC38" s="284" t="n">
        <f aca="false">IF(A38="","",1)</f>
        <v>1</v>
      </c>
    </row>
    <row r="39" customFormat="false" ht="12.75" hidden="false" customHeight="false" outlineLevel="0" collapsed="false">
      <c r="A39" s="498" t="s">
        <v>1954</v>
      </c>
      <c r="B39" s="499" t="n">
        <v>0.005</v>
      </c>
      <c r="C39" s="500"/>
      <c r="D39" s="501" t="str">
        <f aca="false">IF(ISERROR(VLOOKUP($A39,'liste reference'!$A$7:$D$904,2,0)),IF(ISERROR(VLOOKUP($A39,'liste reference'!$B$7:$D$904,1,0)),"",VLOOKUP($A39,'liste reference'!$B$7:$D$904,1,0)),VLOOKUP($A39,'liste reference'!$A$7:$D$904,2,0))</f>
        <v>Mentha longifolia</v>
      </c>
      <c r="E39" s="501" t="e">
        <f aca="false">IF(D39="",0,VLOOKUP(D39,D$22:D38,1,0))</f>
        <v>#N/A</v>
      </c>
      <c r="F39" s="508" t="n">
        <f aca="false">($B39*$B$7+$C39*$C$7)/100</f>
        <v>0.0014</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0</v>
      </c>
      <c r="J39" s="486" t="n">
        <f aca="false">IF(ISNUMBER(H39),IF(ISERROR(VLOOKUP($A39,'liste reference'!$A$7:$P$904,4,0)),IF(ISERROR(VLOOKUP($A39,'liste reference'!$B$7:$P$904,3,0)),"",VLOOKUP($A39,'liste reference'!$B$7:$P$904,3,0)),VLOOKUP($A39,'liste reference'!$A$7:$P$904,4,0)),"")</f>
        <v>0</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Mentha longifolia</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19856</v>
      </c>
      <c r="Q39" s="491" t="n">
        <f aca="false">IF(ISTEXT(H39),"",(B39*$B$7/100)+(C39*$C$7/100))</f>
        <v>0.0014</v>
      </c>
      <c r="R39" s="492" t="n">
        <f aca="false">IF(OR(ISTEXT(H39),Q39=0),"",IF(Q39&lt;0.1,1,IF(Q39&lt;1,2,IF(Q39&lt;10,3,IF(Q39&lt;50,4,IF(Q39&gt;=50,5,""))))))</f>
        <v>1</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MENLON</v>
      </c>
      <c r="Z39" s="284" t="n">
        <f aca="false">IF(ISERROR(MATCH(A39,'liste reference'!$A$7:$A$904,0)),IF(ISERROR(MATCH(A39,'liste reference'!$B$7:$B$904,0)),"",(MATCH(A39,'liste reference'!$B$7:$B$904,0))),(MATCH(A39,'liste reference'!$A$7:$A$904,0)))</f>
        <v>615</v>
      </c>
      <c r="AA39" s="496" t="s">
        <v>2720</v>
      </c>
      <c r="AB39" s="497"/>
      <c r="AC39" s="497"/>
      <c r="BC39" s="284" t="n">
        <f aca="false">IF(A39="","",1)</f>
        <v>1</v>
      </c>
    </row>
    <row r="40" customFormat="false" ht="12.75" hidden="false" customHeight="false" outlineLevel="0" collapsed="false">
      <c r="A40" s="498" t="s">
        <v>1957</v>
      </c>
      <c r="B40" s="499"/>
      <c r="C40" s="500" t="n">
        <v>0.005</v>
      </c>
      <c r="D40" s="501" t="str">
        <f aca="false">IF(ISERROR(VLOOKUP($A40,'liste reference'!$A$7:$D$904,2,0)),IF(ISERROR(VLOOKUP($A40,'liste reference'!$B$7:$D$904,1,0)),"",VLOOKUP($A40,'liste reference'!$B$7:$D$904,1,0)),VLOOKUP($A40,'liste reference'!$A$7:$D$904,2,0))</f>
        <v>Mentha sp.</v>
      </c>
      <c r="E40" s="501" t="e">
        <f aca="false">IF(D40="",0,VLOOKUP(D40,D$22:D39,1,0))</f>
        <v>#N/A</v>
      </c>
      <c r="F40" s="508" t="n">
        <f aca="false">($B40*$B$7+$C40*$C$7)/100</f>
        <v>0.0036</v>
      </c>
      <c r="G40" s="503" t="str">
        <f aca="false">IF(A40="","",IF(ISERROR(VLOOKUP($A40,'liste reference'!$A$7:$P$904,13,0)),IF(ISERROR(VLOOKUP($A40,'liste reference'!$B$7:$P$904,12,0)),"    -",VLOOKUP($A40,'liste reference'!$B$7:$P$904,12,0)),VLOOKUP($A40,'liste reference'!$A$7:$P$904,13,0)))</f>
        <v>PHe</v>
      </c>
      <c r="H40" s="484" t="n">
        <f aca="false">IF(A40="","x",IF(ISERROR(VLOOKUP($A40,'liste reference'!$A$7:$P$904,14,0)),IF(ISERROR(VLOOKUP($A40,'liste reference'!$B$7:$P$904,13,0)),"x",VLOOKUP($A40,'liste reference'!$B$7:$P$904,13,0)),VLOOKUP($A40,'liste reference'!$A$7:$P$904,14,0)))</f>
        <v>8</v>
      </c>
      <c r="I40" s="504" t="n">
        <f aca="false">IF(ISNUMBER(H40),IF(ISERROR(VLOOKUP($A40,'liste reference'!$A$7:$P$904,3,0)),IF(ISERROR(VLOOKUP($A40,'liste reference'!$B$7:$P$904,2,0)),"",VLOOKUP($A40,'liste reference'!$B$7:$P$904,2,0)),VLOOKUP($A40,'liste reference'!$A$7:$P$904,3,0)),"")</f>
        <v>0</v>
      </c>
      <c r="J40" s="486" t="n">
        <f aca="false">IF(ISNUMBER(H40),IF(ISERROR(VLOOKUP($A40,'liste reference'!$A$7:$P$904,4,0)),IF(ISERROR(VLOOKUP($A40,'liste reference'!$B$7:$P$904,3,0)),"",VLOOKUP($A40,'liste reference'!$B$7:$P$904,3,0)),VLOOKUP($A40,'liste reference'!$A$7:$P$904,4,0)),"")</f>
        <v>0</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sp.</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1790</v>
      </c>
      <c r="Q40" s="491" t="n">
        <f aca="false">IF(ISTEXT(H40),"",(B40*$B$7/100)+(C40*$C$7/100))</f>
        <v>0.0036</v>
      </c>
      <c r="R40" s="492" t="n">
        <f aca="false">IF(OR(ISTEXT(H40),Q40=0),"",IF(Q40&lt;0.1,1,IF(Q40&lt;1,2,IF(Q40&lt;10,3,IF(Q40&lt;50,4,IF(Q40&gt;=50,5,""))))))</f>
        <v>1</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MENSPX</v>
      </c>
      <c r="Z40" s="284" t="n">
        <f aca="false">IF(ISERROR(MATCH(A40,'liste reference'!$A$7:$A$904,0)),IF(ISERROR(MATCH(A40,'liste reference'!$B$7:$B$904,0)),"",(MATCH(A40,'liste reference'!$B$7:$B$904,0))),(MATCH(A40,'liste reference'!$A$7:$A$904,0)))</f>
        <v>616</v>
      </c>
      <c r="AA40" s="496"/>
      <c r="AB40" s="497"/>
      <c r="AC40" s="497"/>
      <c r="BC40" s="284" t="n">
        <f aca="false">IF(A40="","",1)</f>
        <v>1</v>
      </c>
    </row>
    <row r="41" customFormat="false" ht="12.75" hidden="false" customHeight="false" outlineLevel="0" collapsed="false">
      <c r="A41" s="498" t="s">
        <v>1998</v>
      </c>
      <c r="B41" s="499" t="n">
        <v>0.01</v>
      </c>
      <c r="C41" s="500" t="n">
        <v>0.02</v>
      </c>
      <c r="D41" s="501" t="str">
        <f aca="false">IF(ISERROR(VLOOKUP($A41,'liste reference'!$A$7:$D$904,2,0)),IF(ISERROR(VLOOKUP($A41,'liste reference'!$B$7:$D$904,1,0)),"",VLOOKUP($A41,'liste reference'!$B$7:$D$904,1,0)),VLOOKUP($A41,'liste reference'!$A$7:$D$904,2,0))</f>
        <v>Nasturtium officinale</v>
      </c>
      <c r="E41" s="501" t="e">
        <f aca="false">IF(D41="",0,VLOOKUP(D41,D$22:D40,1,0))</f>
        <v>#N/A</v>
      </c>
      <c r="F41" s="508" t="n">
        <f aca="false">($B41*$B$7+$C41*$C$7)/100</f>
        <v>0.0172</v>
      </c>
      <c r="G41" s="503" t="str">
        <f aca="false">IF(A41="","",IF(ISERROR(VLOOKUP($A41,'liste reference'!$A$7:$P$904,13,0)),IF(ISERROR(VLOOKUP($A41,'liste reference'!$B$7:$P$904,12,0)),"    -",VLOOKUP($A41,'liste reference'!$B$7:$P$904,12,0)),VLOOKUP($A41,'liste reference'!$A$7:$P$904,13,0)))</f>
        <v>PHe</v>
      </c>
      <c r="H41" s="484" t="n">
        <f aca="false">IF(A41="","x",IF(ISERROR(VLOOKUP($A41,'liste reference'!$A$7:$P$904,14,0)),IF(ISERROR(VLOOKUP($A41,'liste reference'!$B$7:$P$904,13,0)),"x",VLOOKUP($A41,'liste reference'!$B$7:$P$904,13,0)),VLOOKUP($A41,'liste reference'!$A$7:$P$904,14,0)))</f>
        <v>8</v>
      </c>
      <c r="I41" s="504" t="n">
        <f aca="false">IF(ISNUMBER(H41),IF(ISERROR(VLOOKUP($A41,'liste reference'!$A$7:$P$904,3,0)),IF(ISERROR(VLOOKUP($A41,'liste reference'!$B$7:$P$904,2,0)),"",VLOOKUP($A41,'liste reference'!$B$7:$P$904,2,0)),VLOOKUP($A41,'liste reference'!$A$7:$P$904,3,0)),"")</f>
        <v>11</v>
      </c>
      <c r="J41" s="486" t="n">
        <f aca="false">IF(ISNUMBER(H41),IF(ISERROR(VLOOKUP($A41,'liste reference'!$A$7:$P$904,4,0)),IF(ISERROR(VLOOKUP($A41,'liste reference'!$B$7:$P$904,3,0)),"",VLOOKUP($A41,'liste reference'!$B$7:$P$904,3,0)),VLOOKUP($A41,'liste reference'!$A$7:$P$904,4,0)),"")</f>
        <v>1</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Nasturtium officinale</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1763</v>
      </c>
      <c r="Q41" s="491" t="n">
        <f aca="false">IF(ISTEXT(H41),"",(B41*$B$7/100)+(C41*$C$7/100))</f>
        <v>0.0172</v>
      </c>
      <c r="R41" s="492" t="n">
        <f aca="false">IF(OR(ISTEXT(H41),Q41=0),"",IF(Q41&lt;0.1,1,IF(Q41&lt;1,2,IF(Q41&lt;10,3,IF(Q41&lt;50,4,IF(Q41&gt;=50,5,""))))))</f>
        <v>1</v>
      </c>
      <c r="S41" s="492" t="n">
        <f aca="false">IF(ISERROR(R41*I41),0,R41*I41)</f>
        <v>11</v>
      </c>
      <c r="T41" s="492" t="n">
        <f aca="false">IF(ISERROR(R41*I41*J41),0,R41*I41*J41)</f>
        <v>11</v>
      </c>
      <c r="U41" s="506" t="n">
        <f aca="false">IF(ISERROR(R41*J41),0,R41*J41)</f>
        <v>1</v>
      </c>
      <c r="V41" s="493" t="n">
        <v>1</v>
      </c>
      <c r="W41" s="494"/>
      <c r="Y41" s="495" t="str">
        <f aca="false">IF(A41="new.cod","NEWCOD",IF(AND((Z41=""),ISTEXT(A41)),A41,IF(Z41="","",INDEX('liste reference'!$A$7:$A$904,Z41))))</f>
        <v>NASOFF</v>
      </c>
      <c r="Z41" s="284" t="n">
        <f aca="false">IF(ISERROR(MATCH(A41,'liste reference'!$A$7:$A$904,0)),IF(ISERROR(MATCH(A41,'liste reference'!$B$7:$B$904,0)),"",(MATCH(A41,'liste reference'!$B$7:$B$904,0))),(MATCH(A41,'liste reference'!$A$7:$A$904,0)))</f>
        <v>634</v>
      </c>
      <c r="AA41" s="496"/>
      <c r="AB41" s="497"/>
      <c r="AC41" s="497"/>
      <c r="BC41" s="284" t="n">
        <f aca="false">IF(A41="","",1)</f>
        <v>1</v>
      </c>
    </row>
    <row r="42" customFormat="false" ht="12.75" hidden="false" customHeight="false" outlineLevel="0" collapsed="false">
      <c r="A42" s="498" t="s">
        <v>2014</v>
      </c>
      <c r="B42" s="499" t="n">
        <v>0.005</v>
      </c>
      <c r="C42" s="500" t="n">
        <v>0.01</v>
      </c>
      <c r="D42" s="501" t="str">
        <f aca="false">IF(ISERROR(VLOOKUP($A42,'liste reference'!$A$7:$D$904,2,0)),IF(ISERROR(VLOOKUP($A42,'liste reference'!$B$7:$D$904,1,0)),"",VLOOKUP($A42,'liste reference'!$B$7:$D$904,1,0)),VLOOKUP($A42,'liste reference'!$A$7:$D$904,2,0))</f>
        <v>Phalaris arundinacea</v>
      </c>
      <c r="E42" s="501" t="e">
        <f aca="false">IF(D42="",0,VLOOKUP(D42,D$22:D41,1,0))</f>
        <v>#N/A</v>
      </c>
      <c r="F42" s="508" t="n">
        <f aca="false">($B42*$B$7+$C42*$C$7)/100</f>
        <v>0.0086</v>
      </c>
      <c r="G42" s="503" t="str">
        <f aca="false">IF(A42="","",IF(ISERROR(VLOOKUP($A42,'liste reference'!$A$7:$P$904,13,0)),IF(ISERROR(VLOOKUP($A42,'liste reference'!$B$7:$P$904,12,0)),"    -",VLOOKUP($A42,'liste reference'!$B$7:$P$904,12,0)),VLOOKUP($A42,'liste reference'!$A$7:$P$904,13,0)))</f>
        <v>PHe</v>
      </c>
      <c r="H42" s="484" t="n">
        <f aca="false">IF(A42="","x",IF(ISERROR(VLOOKUP($A42,'liste reference'!$A$7:$P$904,14,0)),IF(ISERROR(VLOOKUP($A42,'liste reference'!$B$7:$P$904,13,0)),"x",VLOOKUP($A42,'liste reference'!$B$7:$P$904,13,0)),VLOOKUP($A42,'liste reference'!$A$7:$P$904,14,0)))</f>
        <v>8</v>
      </c>
      <c r="I42" s="504" t="n">
        <f aca="false">IF(ISNUMBER(H42),IF(ISERROR(VLOOKUP($A42,'liste reference'!$A$7:$P$904,3,0)),IF(ISERROR(VLOOKUP($A42,'liste reference'!$B$7:$P$904,2,0)),"",VLOOKUP($A42,'liste reference'!$B$7:$P$904,2,0)),VLOOKUP($A42,'liste reference'!$A$7:$P$904,3,0)),"")</f>
        <v>10</v>
      </c>
      <c r="J42" s="486" t="n">
        <f aca="false">IF(ISNUMBER(H42),IF(ISERROR(VLOOKUP($A42,'liste reference'!$A$7:$P$904,4,0)),IF(ISERROR(VLOOKUP($A42,'liste reference'!$B$7:$P$904,3,0)),"",VLOOKUP($A42,'liste reference'!$B$7:$P$904,3,0)),VLOOKUP($A42,'liste reference'!$A$7:$P$904,4,0)),"")</f>
        <v>1</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Phalaris arundinacea</v>
      </c>
      <c r="L42" s="505"/>
      <c r="M42" s="505"/>
      <c r="N42" s="505"/>
      <c r="O42" s="489"/>
      <c r="P42" s="490" t="n">
        <f aca="false">IF($A42="NEWCOD",IF($AC42="","No",$AC42),IF(ISTEXT($E42),"DEJA SAISI !",IF($A42="","",IF(ISERROR(VLOOKUP($A42,'liste reference'!A:S,19,FALSE())),IF(ISERROR(VLOOKUP($A42,'liste reference'!B:S,19,FALSE())),"",VLOOKUP($A42,'liste reference'!B:S,19,FALSE())),VLOOKUP($A42,'liste reference'!A:S,19,FALSE())))))</f>
        <v>1577</v>
      </c>
      <c r="Q42" s="491" t="n">
        <f aca="false">IF(ISTEXT(H42),"",(B42*$B$7/100)+(C42*$C$7/100))</f>
        <v>0.0086</v>
      </c>
      <c r="R42" s="492" t="n">
        <f aca="false">IF(OR(ISTEXT(H42),Q42=0),"",IF(Q42&lt;0.1,1,IF(Q42&lt;1,2,IF(Q42&lt;10,3,IF(Q42&lt;50,4,IF(Q42&gt;=50,5,""))))))</f>
        <v>1</v>
      </c>
      <c r="S42" s="492" t="n">
        <f aca="false">IF(ISERROR(R42*I42),0,R42*I42)</f>
        <v>10</v>
      </c>
      <c r="T42" s="492" t="n">
        <f aca="false">IF(ISERROR(R42*I42*J42),0,R42*I42*J42)</f>
        <v>10</v>
      </c>
      <c r="U42" s="506" t="n">
        <f aca="false">IF(ISERROR(R42*J42),0,R42*J42)</f>
        <v>1</v>
      </c>
      <c r="V42" s="493" t="n">
        <v>1</v>
      </c>
      <c r="W42" s="494"/>
      <c r="Y42" s="495" t="str">
        <f aca="false">IF(A42="new.cod","NEWCOD",IF(AND((Z42=""),ISTEXT(A42)),A42,IF(Z42="","",INDEX('liste reference'!$A$7:$A$904,Z42))))</f>
        <v>PHAARU</v>
      </c>
      <c r="Z42" s="284" t="n">
        <f aca="false">IF(ISERROR(MATCH(A42,'liste reference'!$A$7:$A$904,0)),IF(ISERROR(MATCH(A42,'liste reference'!$B$7:$B$904,0)),"",(MATCH(A42,'liste reference'!$B$7:$B$904,0))),(MATCH(A42,'liste reference'!$A$7:$A$904,0)))</f>
        <v>640</v>
      </c>
      <c r="AA42" s="496"/>
      <c r="AB42" s="497"/>
      <c r="AC42" s="497"/>
      <c r="BC42" s="284" t="n">
        <f aca="false">IF(A42="","",1)</f>
        <v>1</v>
      </c>
    </row>
    <row r="43" customFormat="false" ht="12.75" hidden="false" customHeight="false" outlineLevel="0" collapsed="false">
      <c r="A43" s="498" t="s">
        <v>2023</v>
      </c>
      <c r="B43" s="499" t="n">
        <v>0.005</v>
      </c>
      <c r="C43" s="500"/>
      <c r="D43" s="501" t="str">
        <f aca="false">IF(ISERROR(VLOOKUP($A43,'liste reference'!$A$7:$D$904,2,0)),IF(ISERROR(VLOOKUP($A43,'liste reference'!$B$7:$D$904,1,0)),"",VLOOKUP($A43,'liste reference'!$B$7:$D$904,1,0)),VLOOKUP($A43,'liste reference'!$A$7:$D$904,2,0))</f>
        <v>Polygonum hydropiper</v>
      </c>
      <c r="E43" s="501" t="e">
        <f aca="false">IF(D43="",0,VLOOKUP(D43,D$22:D42,1,0))</f>
        <v>#N/A</v>
      </c>
      <c r="F43" s="508" t="n">
        <f aca="false">($B43*$B$7+$C43*$C$7)/100</f>
        <v>0.0014</v>
      </c>
      <c r="G43" s="503" t="str">
        <f aca="false">IF(A43="","",IF(ISERROR(VLOOKUP($A43,'liste reference'!$A$7:$P$904,13,0)),IF(ISERROR(VLOOKUP($A43,'liste reference'!$B$7:$P$904,12,0)),"    -",VLOOKUP($A43,'liste reference'!$B$7:$P$904,12,0)),VLOOKUP($A43,'liste reference'!$A$7:$P$904,13,0)))</f>
        <v>PHe</v>
      </c>
      <c r="H43" s="484" t="n">
        <f aca="false">IF(A43="","x",IF(ISERROR(VLOOKUP($A43,'liste reference'!$A$7:$P$904,14,0)),IF(ISERROR(VLOOKUP($A43,'liste reference'!$B$7:$P$904,13,0)),"x",VLOOKUP($A43,'liste reference'!$B$7:$P$904,13,0)),VLOOKUP($A43,'liste reference'!$A$7:$P$904,14,0)))</f>
        <v>8</v>
      </c>
      <c r="I43" s="504" t="n">
        <f aca="false">IF(ISNUMBER(H43),IF(ISERROR(VLOOKUP($A43,'liste reference'!$A$7:$P$904,3,0)),IF(ISERROR(VLOOKUP($A43,'liste reference'!$B$7:$P$904,2,0)),"",VLOOKUP($A43,'liste reference'!$B$7:$P$904,2,0)),VLOOKUP($A43,'liste reference'!$A$7:$P$904,3,0)),"")</f>
        <v>8</v>
      </c>
      <c r="J43" s="486" t="n">
        <f aca="false">IF(ISNUMBER(H43),IF(ISERROR(VLOOKUP($A43,'liste reference'!$A$7:$P$904,4,0)),IF(ISERROR(VLOOKUP($A43,'liste reference'!$B$7:$P$904,3,0)),"",VLOOKUP($A43,'liste reference'!$B$7:$P$904,3,0)),VLOOKUP($A43,'liste reference'!$A$7:$P$904,4,0)),"")</f>
        <v>2</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Polygonum hydropiper</v>
      </c>
      <c r="L43" s="505"/>
      <c r="M43" s="505"/>
      <c r="N43" s="505"/>
      <c r="O43" s="489"/>
      <c r="P43" s="490" t="n">
        <f aca="false">IF($A43="NEWCOD",IF($AC43="","No",$AC43),IF(ISTEXT($E43),"DEJA SAISI !",IF($A43="","",IF(ISERROR(VLOOKUP($A43,'liste reference'!A:S,19,FALSE())),IF(ISERROR(VLOOKUP($A43,'liste reference'!B:S,19,FALSE())),"",VLOOKUP($A43,'liste reference'!B:S,19,FALSE())),VLOOKUP($A43,'liste reference'!A:S,19,FALSE())))))</f>
        <v>1865</v>
      </c>
      <c r="Q43" s="491" t="n">
        <f aca="false">IF(ISTEXT(H43),"",(B43*$B$7/100)+(C43*$C$7/100))</f>
        <v>0.0014</v>
      </c>
      <c r="R43" s="492" t="n">
        <f aca="false">IF(OR(ISTEXT(H43),Q43=0),"",IF(Q43&lt;0.1,1,IF(Q43&lt;1,2,IF(Q43&lt;10,3,IF(Q43&lt;50,4,IF(Q43&gt;=50,5,""))))))</f>
        <v>1</v>
      </c>
      <c r="S43" s="492" t="n">
        <f aca="false">IF(ISERROR(R43*I43),0,R43*I43)</f>
        <v>8</v>
      </c>
      <c r="T43" s="492" t="n">
        <f aca="false">IF(ISERROR(R43*I43*J43),0,R43*I43*J43)</f>
        <v>16</v>
      </c>
      <c r="U43" s="506" t="n">
        <f aca="false">IF(ISERROR(R43*J43),0,R43*J43)</f>
        <v>2</v>
      </c>
      <c r="V43" s="493" t="n">
        <v>2</v>
      </c>
      <c r="W43" s="494"/>
      <c r="Y43" s="495" t="str">
        <f aca="false">IF(A43="new.cod","NEWCOD",IF(AND((Z43=""),ISTEXT(A43)),A43,IF(Z43="","",INDEX('liste reference'!$A$7:$A$904,Z43))))</f>
        <v>POLHYD</v>
      </c>
      <c r="Z43" s="284" t="n">
        <f aca="false">IF(ISERROR(MATCH(A43,'liste reference'!$A$7:$A$904,0)),IF(ISERROR(MATCH(A43,'liste reference'!$B$7:$B$904,0)),"",(MATCH(A43,'liste reference'!$B$7:$B$904,0))),(MATCH(A43,'liste reference'!$A$7:$A$904,0)))</f>
        <v>643</v>
      </c>
      <c r="AA43" s="496"/>
      <c r="AB43" s="497"/>
      <c r="AC43" s="497"/>
      <c r="BC43" s="284" t="n">
        <f aca="false">IF(A43="","",1)</f>
        <v>1</v>
      </c>
    </row>
    <row r="44" customFormat="false" ht="12.75" hidden="false" customHeight="false" outlineLevel="0" collapsed="false">
      <c r="A44" s="498" t="s">
        <v>2123</v>
      </c>
      <c r="B44" s="499" t="n">
        <v>0.005</v>
      </c>
      <c r="C44" s="500" t="n">
        <v>0.01</v>
      </c>
      <c r="D44" s="501" t="str">
        <f aca="false">IF(ISERROR(VLOOKUP($A44,'liste reference'!$A$7:$D$904,2,0)),IF(ISERROR(VLOOKUP($A44,'liste reference'!$B$7:$D$904,1,0)),"",VLOOKUP($A44,'liste reference'!$B$7:$D$904,1,0)),VLOOKUP($A44,'liste reference'!$A$7:$D$904,2,0))</f>
        <v>Veronica anagallis-aquatica</v>
      </c>
      <c r="E44" s="501" t="e">
        <f aca="false">IF(D44="",0,VLOOKUP(D44,D$22:D43,1,0))</f>
        <v>#N/A</v>
      </c>
      <c r="F44" s="508" t="n">
        <f aca="false">($B44*$B$7+$C44*$C$7)/100</f>
        <v>0.0086</v>
      </c>
      <c r="G44" s="503" t="str">
        <f aca="false">IF(A44="","",IF(ISERROR(VLOOKUP($A44,'liste reference'!$A$7:$P$904,13,0)),IF(ISERROR(VLOOKUP($A44,'liste reference'!$B$7:$P$904,12,0)),"    -",VLOOKUP($A44,'liste reference'!$B$7:$P$904,12,0)),VLOOKUP($A44,'liste reference'!$A$7:$P$904,13,0)))</f>
        <v>PHe</v>
      </c>
      <c r="H44" s="484" t="n">
        <f aca="false">IF(A44="","x",IF(ISERROR(VLOOKUP($A44,'liste reference'!$A$7:$P$904,14,0)),IF(ISERROR(VLOOKUP($A44,'liste reference'!$B$7:$P$904,13,0)),"x",VLOOKUP($A44,'liste reference'!$B$7:$P$904,13,0)),VLOOKUP($A44,'liste reference'!$A$7:$P$904,14,0)))</f>
        <v>8</v>
      </c>
      <c r="I44" s="504" t="n">
        <f aca="false">IF(ISNUMBER(H44),IF(ISERROR(VLOOKUP($A44,'liste reference'!$A$7:$P$904,3,0)),IF(ISERROR(VLOOKUP($A44,'liste reference'!$B$7:$P$904,2,0)),"",VLOOKUP($A44,'liste reference'!$B$7:$P$904,2,0)),VLOOKUP($A44,'liste reference'!$A$7:$P$904,3,0)),"")</f>
        <v>11</v>
      </c>
      <c r="J44" s="486" t="n">
        <f aca="false">IF(ISNUMBER(H44),IF(ISERROR(VLOOKUP($A44,'liste reference'!$A$7:$P$904,4,0)),IF(ISERROR(VLOOKUP($A44,'liste reference'!$B$7:$P$904,3,0)),"",VLOOKUP($A44,'liste reference'!$B$7:$P$904,3,0)),VLOOKUP($A44,'liste reference'!$A$7:$P$904,4,0)),"")</f>
        <v>2</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Veronica anagallis-aquatica</v>
      </c>
      <c r="L44" s="505"/>
      <c r="M44" s="505"/>
      <c r="N44" s="505"/>
      <c r="O44" s="489"/>
      <c r="P44" s="490" t="n">
        <f aca="false">IF($A44="NEWCOD",IF($AC44="","No",$AC44),IF(ISTEXT($E44),"DEJA SAISI !",IF($A44="","",IF(ISERROR(VLOOKUP($A44,'liste reference'!A:S,19,FALSE())),IF(ISERROR(VLOOKUP($A44,'liste reference'!B:S,19,FALSE())),"",VLOOKUP($A44,'liste reference'!B:S,19,FALSE())),VLOOKUP($A44,'liste reference'!A:S,19,FALSE())))))</f>
        <v>1955</v>
      </c>
      <c r="Q44" s="491" t="n">
        <f aca="false">IF(ISTEXT(H44),"",(B44*$B$7/100)+(C44*$C$7/100))</f>
        <v>0.0086</v>
      </c>
      <c r="R44" s="492" t="n">
        <f aca="false">IF(OR(ISTEXT(H44),Q44=0),"",IF(Q44&lt;0.1,1,IF(Q44&lt;1,2,IF(Q44&lt;10,3,IF(Q44&lt;50,4,IF(Q44&gt;=50,5,""))))))</f>
        <v>1</v>
      </c>
      <c r="S44" s="492" t="n">
        <f aca="false">IF(ISERROR(R44*I44),0,R44*I44)</f>
        <v>11</v>
      </c>
      <c r="T44" s="492" t="n">
        <f aca="false">IF(ISERROR(R44*I44*J44),0,R44*I44*J44)</f>
        <v>22</v>
      </c>
      <c r="U44" s="506" t="n">
        <f aca="false">IF(ISERROR(R44*J44),0,R44*J44)</f>
        <v>2</v>
      </c>
      <c r="V44" s="493" t="n">
        <v>2</v>
      </c>
      <c r="W44" s="494"/>
      <c r="Y44" s="495" t="str">
        <f aca="false">IF(A44="new.cod","NEWCOD",IF(AND((Z44=""),ISTEXT(A44)),A44,IF(Z44="","",INDEX('liste reference'!$A$7:$A$904,Z44))))</f>
        <v>VERANA</v>
      </c>
      <c r="Z44" s="284" t="n">
        <f aca="false">IF(ISERROR(MATCH(A44,'liste reference'!$A$7:$A$904,0)),IF(ISERROR(MATCH(A44,'liste reference'!$B$7:$B$904,0)),"",(MATCH(A44,'liste reference'!$B$7:$B$904,0))),(MATCH(A44,'liste reference'!$A$7:$A$904,0)))</f>
        <v>688</v>
      </c>
      <c r="AA44" s="496"/>
      <c r="AB44" s="497"/>
      <c r="AC44" s="497"/>
      <c r="BC44" s="284" t="n">
        <f aca="false">IF(A44="","",1)</f>
        <v>1</v>
      </c>
    </row>
    <row r="45" customFormat="false" ht="12.75" hidden="false" customHeight="false" outlineLevel="0" collapsed="false">
      <c r="A45" s="498" t="s">
        <v>2321</v>
      </c>
      <c r="B45" s="499" t="n">
        <v>0.01</v>
      </c>
      <c r="C45" s="500"/>
      <c r="D45" s="501" t="str">
        <f aca="false">IF(ISERROR(VLOOKUP($A45,'liste reference'!$A$7:$D$904,2,0)),IF(ISERROR(VLOOKUP($A45,'liste reference'!$B$7:$D$904,1,0)),"",VLOOKUP($A45,'liste reference'!$B$7:$D$904,1,0)),VLOOKUP($A45,'liste reference'!$A$7:$D$904,2,0))</f>
        <v>Juncus articulatus</v>
      </c>
      <c r="E45" s="501" t="e">
        <f aca="false">IF(D45="",0,VLOOKUP(D45,D$22:D44,1,0))</f>
        <v>#N/A</v>
      </c>
      <c r="F45" s="508" t="n">
        <f aca="false">($B45*$B$7+$C45*$C$7)/100</f>
        <v>0.0028</v>
      </c>
      <c r="G45" s="503" t="str">
        <f aca="false">IF(A45="","",IF(ISERROR(VLOOKUP($A45,'liste reference'!$A$7:$P$904,13,0)),IF(ISERROR(VLOOKUP($A45,'liste reference'!$B$7:$P$904,12,0)),"    -",VLOOKUP($A45,'liste reference'!$B$7:$P$904,12,0)),VLOOKUP($A45,'liste reference'!$A$7:$P$904,13,0)))</f>
        <v>PHg</v>
      </c>
      <c r="H45" s="484" t="n">
        <f aca="false">IF(A45="","x",IF(ISERROR(VLOOKUP($A45,'liste reference'!$A$7:$P$904,14,0)),IF(ISERROR(VLOOKUP($A45,'liste reference'!$B$7:$P$904,13,0)),"x",VLOOKUP($A45,'liste reference'!$B$7:$P$904,13,0)),VLOOKUP($A45,'liste reference'!$A$7:$P$904,14,0)))</f>
        <v>9</v>
      </c>
      <c r="I45" s="504" t="n">
        <f aca="false">IF(ISNUMBER(H45),IF(ISERROR(VLOOKUP($A45,'liste reference'!$A$7:$P$904,3,0)),IF(ISERROR(VLOOKUP($A45,'liste reference'!$B$7:$P$904,2,0)),"",VLOOKUP($A45,'liste reference'!$B$7:$P$904,2,0)),VLOOKUP($A45,'liste reference'!$A$7:$P$904,3,0)),"")</f>
        <v>0</v>
      </c>
      <c r="J45" s="486" t="n">
        <f aca="false">IF(ISNUMBER(H45),IF(ISERROR(VLOOKUP($A45,'liste reference'!$A$7:$P$904,4,0)),IF(ISERROR(VLOOKUP($A45,'liste reference'!$B$7:$P$904,3,0)),"",VLOOKUP($A45,'liste reference'!$B$7:$P$904,3,0)),VLOOKUP($A45,'liste reference'!$A$7:$P$904,4,0)),"")</f>
        <v>0</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Juncus articulatus</v>
      </c>
      <c r="L45" s="505"/>
      <c r="M45" s="505"/>
      <c r="N45" s="505"/>
      <c r="O45" s="489"/>
      <c r="P45" s="490" t="n">
        <f aca="false">IF($A45="NEWCOD",IF($AC45="","No",$AC45),IF(ISTEXT($E45),"DEJA SAISI !",IF($A45="","",IF(ISERROR(VLOOKUP($A45,'liste reference'!A:S,19,FALSE())),IF(ISERROR(VLOOKUP($A45,'liste reference'!B:S,19,FALSE())),"",VLOOKUP($A45,'liste reference'!B:S,19,FALSE())),VLOOKUP($A45,'liste reference'!A:S,19,FALSE())))))</f>
        <v>1609</v>
      </c>
      <c r="Q45" s="491" t="n">
        <f aca="false">IF(ISTEXT(H45),"",(B45*$B$7/100)+(C45*$C$7/100))</f>
        <v>0.0028</v>
      </c>
      <c r="R45" s="492" t="n">
        <f aca="false">IF(OR(ISTEXT(H45),Q45=0),"",IF(Q45&lt;0.1,1,IF(Q45&lt;1,2,IF(Q45&lt;10,3,IF(Q45&lt;50,4,IF(Q45&gt;=50,5,""))))))</f>
        <v>1</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JUNART</v>
      </c>
      <c r="Z45" s="284" t="n">
        <f aca="false">IF(ISERROR(MATCH(A45,'liste reference'!$A$7:$A$904,0)),IF(ISERROR(MATCH(A45,'liste reference'!$B$7:$B$904,0)),"",(MATCH(A45,'liste reference'!$B$7:$B$904,0))),(MATCH(A45,'liste reference'!$A$7:$A$904,0)))</f>
        <v>774</v>
      </c>
      <c r="AA45" s="496"/>
      <c r="AB45" s="497"/>
      <c r="AC45" s="497"/>
      <c r="BC45" s="284" t="n">
        <f aca="false">IF(A45="","",1)</f>
        <v>1</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IF(D46="",0,VLOOKUP(D46,D$22:D45,1,0))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IF(D54="",0,VLOOKUP(D54,D$21:D53,1,0))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X54" s="509"/>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10"/>
      <c r="M56" s="510"/>
      <c r="N56" s="510"/>
      <c r="O56" s="511"/>
      <c r="P56" s="512"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10"/>
      <c r="M57" s="510"/>
      <c r="N57" s="510"/>
      <c r="O57" s="511"/>
      <c r="P57" s="512"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X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t="s">
        <v>2721</v>
      </c>
      <c r="B61" s="499" t="n">
        <v>0.01</v>
      </c>
      <c r="C61" s="500" t="n">
        <v>0.02</v>
      </c>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0.0172</v>
      </c>
      <c r="G61" s="503" t="str">
        <f aca="false">IF(A61="","",IF(ISERROR(VLOOKUP($A61,'liste reference'!$A$7:$P$904,13,0)),IF(ISERROR(VLOOKUP($A61,'liste reference'!$B$7:$P$904,12,0)),"    -",VLOOKUP($A61,'liste reference'!$B$7:$P$904,12,0)),VLOOKUP($A61,'liste reference'!$A$7:$P$904,13,0)))</f>
        <v>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Rorippa sylvestris</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No</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NEWCOD</v>
      </c>
      <c r="Z61" s="284" t="str">
        <f aca="false">IF(ISERROR(MATCH(A61,'liste reference'!$A$7:$A$904,0)),IF(ISERROR(MATCH(A61,'liste reference'!$B$7:$B$904,0)),"",(MATCH(A61,'liste reference'!$B$7:$B$904,0))),(MATCH(A61,'liste reference'!$A$7:$A$904,0)))</f>
        <v/>
      </c>
      <c r="AA61" s="496"/>
      <c r="AB61" s="497" t="s">
        <v>2722</v>
      </c>
      <c r="AC61" s="497"/>
      <c r="BC61" s="284" t="n">
        <f aca="false">IF(A61="","",1)</f>
        <v>1</v>
      </c>
    </row>
    <row r="62" customFormat="false" ht="12.75" hidden="false" customHeight="false" outlineLevel="0" collapsed="false">
      <c r="A62" s="498" t="s">
        <v>2721</v>
      </c>
      <c r="B62" s="499"/>
      <c r="C62" s="500" t="n">
        <v>0.01</v>
      </c>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0.0072</v>
      </c>
      <c r="G62" s="503" t="str">
        <f aca="false">IF(A62="","",IF(ISERROR(VLOOKUP($A62,'liste reference'!$A$7:$P$904,13,0)),IF(ISERROR(VLOOKUP($A62,'liste reference'!$B$7:$P$904,12,0)),"    -",VLOOKUP($A62,'liste reference'!$B$7:$P$904,12,0)),VLOOKUP($A62,'liste reference'!$A$7:$P$904,13,0)))</f>
        <v>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Paspalum distichum</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No</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NEWCOD</v>
      </c>
      <c r="Z62" s="284" t="str">
        <f aca="false">IF(ISERROR(MATCH(A62,'liste reference'!$A$7:$A$904,0)),IF(ISERROR(MATCH(A62,'liste reference'!$B$7:$B$904,0)),"",(MATCH(A62,'liste reference'!$B$7:$B$904,0))),(MATCH(A62,'liste reference'!$A$7:$A$904,0)))</f>
        <v/>
      </c>
      <c r="AA62" s="496"/>
      <c r="AB62" s="497" t="s">
        <v>2723</v>
      </c>
      <c r="AC62" s="497"/>
      <c r="BC62" s="284" t="n">
        <f aca="false">IF(A62="","",1)</f>
        <v>1</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IF(D63="",0,VLOOKUP(D63,D$22:D55,1,0))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Lergue</v>
      </c>
      <c r="B84" s="531" t="str">
        <f aca="false">C3</f>
        <v>Brignac</v>
      </c>
      <c r="C84" s="532" t="n">
        <f aca="false">A4</f>
        <v>41089</v>
      </c>
      <c r="D84" s="533" t="n">
        <f aca="false">IF(ISERROR(SUM($T$23:$T$82)/SUM($U$23:$U$82)),"",SUM($T$23:$T$82)/SUM($U$23:$U$82))</f>
        <v>8</v>
      </c>
      <c r="E84" s="534" t="n">
        <f aca="false">N13</f>
        <v>25</v>
      </c>
      <c r="F84" s="531" t="n">
        <f aca="false">N14</f>
        <v>23</v>
      </c>
      <c r="G84" s="531" t="n">
        <f aca="false">N15</f>
        <v>10</v>
      </c>
      <c r="H84" s="531" t="n">
        <f aca="false">N16</f>
        <v>7</v>
      </c>
      <c r="I84" s="531" t="n">
        <f aca="false">N17</f>
        <v>1</v>
      </c>
      <c r="J84" s="535" t="n">
        <f aca="false">N8</f>
        <v>6.82608695652174</v>
      </c>
      <c r="K84" s="533" t="n">
        <f aca="false">N9</f>
        <v>4.56918705632974</v>
      </c>
      <c r="L84" s="534" t="n">
        <f aca="false">N10</f>
        <v>0</v>
      </c>
      <c r="M84" s="534" t="n">
        <f aca="false">N11</f>
        <v>13</v>
      </c>
      <c r="N84" s="533" t="n">
        <f aca="false">O8</f>
        <v>1.17391304347826</v>
      </c>
      <c r="O84" s="533" t="n">
        <f aca="false">O9</f>
        <v>0.834057656228299</v>
      </c>
      <c r="P84" s="534"/>
      <c r="Q84" s="534" t="n">
        <f aca="false">O10</f>
        <v>0</v>
      </c>
      <c r="R84" s="534" t="n">
        <f aca="false">O11</f>
        <v>3</v>
      </c>
      <c r="S84" s="536" t="n">
        <f aca="false">F21</f>
        <v>3.412</v>
      </c>
      <c r="T84" s="534" t="n">
        <f aca="false">K11</f>
        <v>0</v>
      </c>
      <c r="U84" s="534" t="n">
        <f aca="false">K12</f>
        <v>7</v>
      </c>
      <c r="V84" s="534" t="n">
        <f aca="false">K13</f>
        <v>1</v>
      </c>
      <c r="W84" s="537" t="n">
        <f aca="false">K14</f>
        <v>1</v>
      </c>
      <c r="X84" s="538" t="n">
        <f aca="false">K15</f>
        <v>14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26</v>
      </c>
      <c r="T87" s="284"/>
      <c r="U87" s="284"/>
      <c r="V87" s="284"/>
    </row>
    <row r="88" customFormat="false" ht="12.75" hidden="true" customHeight="false" outlineLevel="0" collapsed="false">
      <c r="P88" s="284"/>
      <c r="Q88" s="284" t="s">
        <v>2700</v>
      </c>
      <c r="R88" s="284"/>
      <c r="S88" s="493" t="n">
        <f aca="false">VLOOKUP((S87),($S$23:$U$82),2,0)</f>
        <v>52</v>
      </c>
      <c r="T88" s="284"/>
      <c r="U88" s="284"/>
      <c r="V88" s="284"/>
    </row>
    <row r="89" customFormat="false" ht="12.75" hidden="false" customHeight="false" outlineLevel="0" collapsed="false">
      <c r="Q89" s="284" t="s">
        <v>2701</v>
      </c>
      <c r="R89" s="284"/>
      <c r="S89" s="493" t="n">
        <f aca="false">VLOOKUP((S87),($S$23:$U$82),3,0)</f>
        <v>4</v>
      </c>
      <c r="T89" s="284"/>
    </row>
    <row r="90" customFormat="false" ht="12.75" hidden="false" customHeight="false" outlineLevel="0" collapsed="false">
      <c r="Q90" s="284" t="s">
        <v>2702</v>
      </c>
      <c r="R90" s="284"/>
      <c r="S90" s="541" t="n">
        <f aca="false">IF(ISERROR(SUM($T$23:$T$82)/SUM($U$23:$U$82)),"",(SUM($T$23:$T$82)-S88)/(SUM($U$23:$U$82)-S89))</f>
        <v>7.375</v>
      </c>
      <c r="T90" s="284"/>
    </row>
    <row r="91" customFormat="false" ht="12.75" hidden="false" customHeight="false" outlineLevel="0" collapsed="false">
      <c r="Q91" s="492" t="s">
        <v>2703</v>
      </c>
      <c r="R91" s="492"/>
      <c r="S91" s="492" t="str">
        <f aca="false">INDEX('liste reference'!$A$7:$A$904,$T$91)</f>
        <v>PHOSPX</v>
      </c>
      <c r="T91" s="284" t="n">
        <f aca="false">IF(ISERROR(MATCH($S$93,'liste reference'!$A$7:$A$904,0)),MATCH($S$93,'liste reference'!$B$7:$B$904,0),(MATCH($S$93,'liste reference'!$A$7:$A$904,0)))</f>
        <v>58</v>
      </c>
      <c r="U91" s="529"/>
    </row>
    <row r="92" customFormat="false" ht="12.75" hidden="false" customHeight="false" outlineLevel="0" collapsed="false">
      <c r="Q92" s="284" t="s">
        <v>2704</v>
      </c>
      <c r="R92" s="284"/>
      <c r="S92" s="284" t="n">
        <f aca="false">MATCH(S87,$S$23:$S$82,0)</f>
        <v>5</v>
      </c>
      <c r="T92" s="284"/>
    </row>
    <row r="93" customFormat="false" ht="12.75" hidden="false" customHeight="false" outlineLevel="0" collapsed="false">
      <c r="Q93" s="492" t="s">
        <v>2705</v>
      </c>
      <c r="R93" s="284"/>
      <c r="S93" s="492" t="str">
        <f aca="false">INDEX($A$23:$A$82,$S$92)</f>
        <v>PHOSPX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2724</v>
      </c>
      <c r="B1" s="552"/>
      <c r="C1" s="552"/>
      <c r="D1" s="552"/>
    </row>
    <row r="2" customFormat="false" ht="15" hidden="false" customHeight="false" outlineLevel="0" collapsed="false">
      <c r="A2" s="553" t="s">
        <v>2725</v>
      </c>
      <c r="B2" s="554"/>
      <c r="C2" s="555"/>
      <c r="D2" s="555"/>
    </row>
    <row r="3" customFormat="false" ht="15.75" hidden="false" customHeight="false" outlineLevel="0" collapsed="false">
      <c r="A3" s="553" t="s">
        <v>2726</v>
      </c>
      <c r="B3" s="554"/>
      <c r="C3" s="555"/>
      <c r="D3" s="556" t="s">
        <v>2727</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2728</v>
      </c>
      <c r="G15" s="574"/>
      <c r="H15" s="575" t="s">
        <v>2729</v>
      </c>
      <c r="I15" s="574"/>
    </row>
    <row r="16" customFormat="false" ht="12.75" hidden="false" customHeight="false" outlineLevel="0" collapsed="false">
      <c r="A16" s="570" t="s">
        <v>1722</v>
      </c>
      <c r="B16" s="569" t="s">
        <v>1723</v>
      </c>
      <c r="C16" s="571"/>
      <c r="D16" s="572"/>
      <c r="F16" s="576" t="s">
        <v>2730</v>
      </c>
      <c r="G16" s="577"/>
      <c r="H16" s="576" t="s">
        <v>2730</v>
      </c>
      <c r="I16" s="578"/>
    </row>
    <row r="17" customFormat="false" ht="12.75" hidden="false" customHeight="false" outlineLevel="0" collapsed="false">
      <c r="A17" s="568" t="s">
        <v>2141</v>
      </c>
      <c r="B17" s="569" t="s">
        <v>2142</v>
      </c>
      <c r="C17" s="571"/>
      <c r="D17" s="572"/>
      <c r="F17" s="579" t="s">
        <v>2714</v>
      </c>
      <c r="G17" s="580"/>
      <c r="H17" s="579" t="s">
        <v>2714</v>
      </c>
      <c r="I17" s="581"/>
    </row>
    <row r="18" customFormat="false" ht="12.75" hidden="false" customHeight="false" outlineLevel="0" collapsed="false">
      <c r="A18" s="568" t="s">
        <v>1215</v>
      </c>
      <c r="B18" s="569" t="s">
        <v>1216</v>
      </c>
      <c r="C18" s="571"/>
      <c r="D18" s="572"/>
      <c r="F18" s="579" t="s">
        <v>2731</v>
      </c>
      <c r="G18" s="580"/>
      <c r="H18" s="579" t="s">
        <v>2731</v>
      </c>
      <c r="I18" s="581"/>
    </row>
    <row r="19" customFormat="false" ht="12.75" hidden="false" customHeight="false" outlineLevel="0" collapsed="false">
      <c r="A19" s="568" t="s">
        <v>1725</v>
      </c>
      <c r="B19" s="569" t="s">
        <v>1726</v>
      </c>
      <c r="C19" s="571"/>
      <c r="D19" s="572"/>
      <c r="F19" s="579" t="s">
        <v>2732</v>
      </c>
      <c r="G19" s="580"/>
      <c r="H19" s="579" t="s">
        <v>2732</v>
      </c>
      <c r="I19" s="581"/>
    </row>
    <row r="20" customFormat="false" ht="12.75" hidden="false" customHeight="false" outlineLevel="0" collapsed="false">
      <c r="A20" s="570" t="s">
        <v>1728</v>
      </c>
      <c r="B20" s="569" t="s">
        <v>1729</v>
      </c>
      <c r="C20" s="571"/>
      <c r="D20" s="572"/>
      <c r="F20" s="579" t="s">
        <v>2733</v>
      </c>
      <c r="G20" s="580"/>
      <c r="H20" s="579" t="s">
        <v>2733</v>
      </c>
      <c r="I20" s="581"/>
    </row>
    <row r="21" customFormat="false" ht="12.75" hidden="false" customHeight="false" outlineLevel="0" collapsed="false">
      <c r="A21" s="570" t="s">
        <v>1734</v>
      </c>
      <c r="B21" s="569" t="s">
        <v>1735</v>
      </c>
      <c r="C21" s="571"/>
      <c r="D21" s="572"/>
      <c r="F21" s="579" t="s">
        <v>2734</v>
      </c>
      <c r="G21" s="580"/>
      <c r="H21" s="579" t="s">
        <v>2734</v>
      </c>
      <c r="I21" s="581"/>
    </row>
    <row r="22" customFormat="false" ht="12.75" hidden="false" customHeight="false" outlineLevel="0" collapsed="false">
      <c r="A22" s="568" t="s">
        <v>1740</v>
      </c>
      <c r="B22" s="569" t="s">
        <v>1741</v>
      </c>
      <c r="C22" s="571"/>
      <c r="D22" s="572"/>
      <c r="F22" s="579" t="s">
        <v>2735</v>
      </c>
      <c r="G22" s="580"/>
      <c r="H22" s="579" t="s">
        <v>2735</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2736</v>
      </c>
      <c r="G24" s="580"/>
      <c r="H24" s="579" t="s">
        <v>2736</v>
      </c>
      <c r="I24" s="581"/>
    </row>
    <row r="25" customFormat="false" ht="12.75" hidden="false" customHeight="false" outlineLevel="0" collapsed="false">
      <c r="A25" s="568" t="s">
        <v>2147</v>
      </c>
      <c r="B25" s="569" t="s">
        <v>2148</v>
      </c>
      <c r="C25" s="571"/>
      <c r="D25" s="572"/>
      <c r="F25" s="582" t="s">
        <v>2737</v>
      </c>
      <c r="G25" s="583"/>
      <c r="H25" s="582" t="s">
        <v>2737</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2738</v>
      </c>
    </row>
    <row r="34" customFormat="false" ht="12.75" hidden="false" customHeight="false" outlineLevel="0" collapsed="false">
      <c r="A34" s="568" t="s">
        <v>655</v>
      </c>
      <c r="B34" s="569" t="s">
        <v>656</v>
      </c>
      <c r="C34" s="571"/>
      <c r="D34" s="572"/>
      <c r="F34" s="586" t="s">
        <v>2739</v>
      </c>
    </row>
    <row r="35" customFormat="false" ht="12.75" hidden="false" customHeight="false" outlineLevel="0" collapsed="false">
      <c r="A35" s="568" t="s">
        <v>53</v>
      </c>
      <c r="B35" s="588" t="s">
        <v>54</v>
      </c>
      <c r="C35" s="571"/>
      <c r="D35" s="572"/>
      <c r="F35" s="589" t="s">
        <v>2740</v>
      </c>
    </row>
    <row r="36" customFormat="false" ht="12.75" hidden="false" customHeight="false" outlineLevel="0" collapsed="false">
      <c r="A36" s="570" t="s">
        <v>321</v>
      </c>
      <c r="B36" s="569" t="s">
        <v>322</v>
      </c>
      <c r="C36" s="571"/>
      <c r="D36" s="572"/>
      <c r="F36" s="589" t="s">
        <v>2741</v>
      </c>
    </row>
    <row r="37" customFormat="false" ht="12.75" hidden="false" customHeight="false" outlineLevel="0" collapsed="false">
      <c r="A37" s="568" t="s">
        <v>2156</v>
      </c>
      <c r="B37" s="569" t="s">
        <v>2742</v>
      </c>
      <c r="C37" s="571"/>
      <c r="D37" s="572"/>
      <c r="F37" s="587" t="s">
        <v>2743</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2744</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2745</v>
      </c>
      <c r="C96" s="571"/>
      <c r="D96" s="572"/>
    </row>
    <row r="97" customFormat="false" ht="12.75" hidden="false" customHeight="false" outlineLevel="0" collapsed="false">
      <c r="A97" s="568" t="s">
        <v>2746</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2747</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2748</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2749</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2750</v>
      </c>
      <c r="B406" s="569" t="s">
        <v>397</v>
      </c>
      <c r="C406" s="571"/>
      <c r="D406" s="572"/>
    </row>
    <row r="407" customFormat="false" ht="12.75" hidden="false" customHeight="false" outlineLevel="0" collapsed="false">
      <c r="A407" s="570" t="s">
        <v>404</v>
      </c>
      <c r="B407" s="569" t="s">
        <v>2751</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2752</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2753</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2754</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IMBERT Loïc</cp:lastModifiedBy>
  <cp:lastPrinted>2012-05-04T15:33:22Z</cp:lastPrinted>
  <dcterms:modified xsi:type="dcterms:W3CDTF">2013-10-15T09:48:09Z</dcterms:modified>
  <cp:revision>0</cp:revision>
  <dc:subject/>
  <dc:title>Feuille d'aide au calcul de l'IBMR</dc:title>
</cp:coreProperties>
</file>