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ez à Prades le Lez" sheetId="7" state="visible" r:id="rId9"/>
    <sheet name="liste codes réf" sheetId="8" state="hidden" r:id="rId10"/>
  </sheets>
  <definedNames>
    <definedName function="false" hidden="false" localSheetId="6" name="_xlnm.Print_Area" vbProcedure="false">'Lez à Prades le Lez'!$A$1:$Q$82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'Lez à Prades le Lez'!$A$1:$C$1415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<sst xmlns="http://schemas.openxmlformats.org/spreadsheetml/2006/main" count="10012" uniqueCount="3494">
  <si>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</si>
  <si>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</si>
  <si>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</si>
  <si>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</si>
  <si>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</si>
  <si>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</si>
  <si>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</si>
  <si>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</si>
  <si>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</si>
  <si>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</si>
  <si>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</si>
  <si>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</si>
  <si>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</si>
  <si>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</si>
  <si>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</si>
  <si>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</si>
  <si>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</si>
  <si>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</si>
  <si>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</si>
  <si>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</si>
  <si>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</si>
  <si>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</si>
  <si>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</si>
  <si>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</si>
  <si>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</si>
  <si>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</si>
  <si>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</si>
  <si>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</si>
  <si>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</si>
  <si>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</si>
  <si>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</si>
  <si>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</si>
  <si>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</si>
  <si>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</si>
  <si>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</si>
  <si>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</si>
  <si>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</si>
  <si>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</si>
  <si>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</si>
  <si>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</si>
  <si>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</si>
  <si>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</si>
  <si>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</si>
  <si>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</si>
  <si>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</si>
  <si>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</si>
  <si>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</si>
  <si>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</si>
  <si>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</si>
  <si>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</si>
  <si>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</si>
  <si>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</si>
  <si>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</si>
  <si>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</si>
  <si>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</si>
  <si>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</si>
  <si>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</si>
  <si>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</si>
  <si>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</si>
  <si>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</si>
  <si>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</si>
  <si>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</si>
  <si>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</si>
  <si>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</si>
  <si>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</si>
  <si>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</si>
  <si>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</si>
  <si>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</si>
  <si>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</si>
  <si>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</si>
  <si>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</si>
  <si>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</si>
  <si>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</si>
  <si>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</si>
  <si>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</si>
  <si>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</si>
  <si>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</si>
  <si>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</si>
  <si>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</si>
  <si>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</si>
  <si>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</si>
  <si>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</si>
  <si>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</si>
  <si>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</si>
  <si>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</si>
  <si>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</si>
  <si>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</si>
  <si>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</si>
  <si>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</si>
  <si>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</si>
  <si>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</si>
  <si>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</si>
  <si>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</si>
  <si>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</si>
  <si>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</si>
  <si>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</si>
  <si>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</si>
  <si>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</si>
  <si>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</si>
  <si>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</si>
  <si>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</si>
  <si>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</si>
  <si>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</si>
  <si>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</si>
  <si>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</si>
  <si>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</si>
  <si>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</si>
  <si>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</si>
  <si>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</si>
  <si>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</si>
  <si>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</si>
  <si>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</si>
  <si>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</si>
  <si>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</si>
  <si>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</si>
  <si>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</si>
  <si>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</si>
  <si>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</si>
  <si>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</si>
  <si>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</si>
  <si>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</si>
  <si>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</si>
  <si>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</si>
  <si>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</si>
  <si>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</si>
  <si>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</si>
  <si>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</si>
  <si>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</si>
  <si>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</si>
  <si>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</si>
  <si>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</si>
  <si>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</si>
  <si>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</si>
  <si>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</si>
  <si>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</si>
  <si>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</si>
  <si>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</si>
  <si>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</si>
  <si>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</si>
  <si>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</si>
  <si>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</si>
  <si>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</si>
  <si>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</si>
  <si>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</si>
  <si>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</si>
  <si>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</si>
  <si>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</si>
  <si>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</si>
  <si>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</si>
  <si>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</si>
  <si>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</si>
  <si>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</si>
  <si>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</si>
  <si>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</si>
  <si>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</si>
  <si>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</si>
  <si>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</si>
  <si>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</si>
  <si>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</si>
  <si>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</si>
  <si>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</si>
  <si>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</si>
  <si>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</si>
  <si>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</si>
  <si>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</si>
  <si>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</si>
  <si>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</si>
  <si>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</si>
  <si>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</si>
  <si>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</si>
  <si>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</si>
  <si>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</si>
  <si>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</si>
  <si>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</si>
  <si>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</si>
  <si>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</si>
  <si>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</si>
  <si>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</si>
  <si>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</si>
  <si>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</si>
  <si>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</si>
  <si>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</si>
  <si>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</si>
  <si>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</si>
  <si>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</si>
  <si>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</si>
  <si>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</si>
  <si>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</si>
  <si>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</si>
  <si>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</si>
  <si>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</si>
  <si>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</si>
  <si>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</si>
  <si>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</si>
  <si>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</si>
  <si>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</si>
  <si>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</si>
  <si>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</si>
  <si>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</si>
  <si>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</si>
  <si>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</si>
  <si>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</si>
  <si>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</si>
  <si>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</si>
  <si>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</si>
  <si>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</si>
  <si>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</si>
  <si>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</si>
  <si>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</si>
  <si>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</si>
  <si>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</si>
  <si>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</si>
  <si>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</si>
  <si>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</si>
  <si>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</si>
  <si>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</si>
  <si>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</si>
  <si>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</si>
  <si>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</si>
  <si>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</si>
  <si>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</si>
  <si>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</si>
  <si>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</si>
  <si>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</si>
  <si>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</si>
  <si>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</si>
  <si>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</si>
  <si>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</si>
  <si>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</si>
  <si>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</si>
  <si>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</si>
  <si>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</si>
  <si>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</si>
  <si>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</si>
  <si>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</si>
  <si>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</si>
  <si>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</si>
  <si>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</si>
  <si>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</si>
  <si>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</si>
  <si>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</si>
  <si>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</si>
  <si>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</si>
  <si>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</si>
  <si>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</si>
  <si>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</si>
  <si>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</si>
  <si>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</si>
  <si>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</si>
  <si>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</si>
  <si>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</si>
  <si>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</si>
  <si>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</si>
  <si>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</si>
  <si>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</si>
  <si>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</si>
  <si>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</si>
  <si>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</si>
  <si>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</si>
  <si>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</si>
  <si>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</si>
  <si>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</si>
  <si>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</si>
  <si>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</si>
  <si>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</si>
  <si>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</si>
  <si>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</si>
  <si>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</si>
  <si>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</si>
  <si>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</si>
  <si>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</si>
  <si>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</si>
  <si>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</si>
  <si>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</si>
  <si>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</si>
  <si>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</si>
  <si>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</si>
  <si>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</si>
  <si>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</si>
  <si>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</si>
  <si>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</si>
  <si>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</si>
  <si>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</si>
  <si>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</si>
  <si>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</si>
  <si>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</si>
  <si>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</si>
  <si>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</si>
  <si>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</si>
  <si>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</si>
  <si>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</si>
  <si>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</si>
  <si>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</si>
  <si>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</si>
  <si>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</si>
  <si>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</si>
  <si>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</si>
  <si>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</si>
  <si>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</si>
  <si>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</si>
  <si>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</si>
  <si>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</si>
  <si>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</si>
  <si>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</si>
  <si>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</si>
  <si>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</si>
  <si>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</si>
  <si>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</si>
  <si>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</si>
  <si>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</si>
  <si>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</si>
  <si>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</si>
  <si>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</si>
  <si>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</si>
  <si>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</si>
  <si>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</si>
  <si>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</si>
  <si>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</si>
  <si>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</si>
  <si>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</si>
  <si>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</si>
  <si>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</si>
  <si>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</si>
  <si>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</si>
  <si>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</si>
  <si>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</si>
  <si>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</si>
  <si>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</si>
  <si>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</si>
  <si>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</si>
  <si>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</si>
  <si>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</si>
  <si>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</si>
  <si>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</si>
  <si>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</si>
  <si>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</si>
  <si>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</si>
  <si>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</si>
  <si>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</si>
  <si>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</si>
  <si>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</si>
  <si>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</si>
  <si>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</si>
  <si>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</si>
  <si>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</si>
  <si>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</si>
  <si>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</si>
  <si>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</si>
  <si>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</si>
  <si>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</si>
  <si>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</si>
  <si>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</si>
  <si>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</si>
  <si>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</si>
  <si>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</si>
  <si>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</si>
  <si>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</si>
  <si>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</si>
  <si>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</si>
  <si>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</si>
  <si>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</si>
  <si>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</si>
  <si>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</si>
  <si>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</si>
  <si>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</si>
  <si>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</si>
  <si>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</si>
  <si>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</si>
  <si>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</si>
  <si>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</si>
  <si>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</si>
  <si>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</si>
  <si>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</si>
  <si>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</si>
  <si>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</si>
  <si>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</si>
  <si>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</si>
  <si>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</si>
  <si>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</si>
  <si>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</si>
  <si>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</si>
  <si>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</si>
  <si>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</si>
  <si>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</si>
  <si>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</si>
  <si>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</si>
  <si>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</si>
  <si>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</si>
  <si>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</si>
  <si>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</si>
  <si>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</si>
  <si>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</si>
  <si>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</si>
  <si>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</si>
  <si>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</si>
  <si>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</si>
  <si>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</si>
  <si>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</si>
  <si>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</si>
  <si>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</si>
  <si>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</si>
  <si>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</si>
  <si>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</si>
  <si>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</si>
  <si>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</si>
  <si>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</si>
  <si>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</si>
  <si>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</si>
  <si>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</si>
  <si>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</si>
  <si>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</si>
  <si>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</si>
  <si>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</si>
  <si>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</si>
  <si>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</si>
  <si>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</si>
  <si>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</si>
  <si>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</si>
  <si>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</si>
  <si>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</si>
  <si>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</si>
  <si>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</si>
  <si>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</si>
  <si>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</si>
  <si>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</si>
  <si>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</si>
  <si>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</si>
  <si>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</si>
  <si>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</si>
  <si>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</si>
  <si>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</si>
  <si>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</si>
  <si>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</si>
  <si>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</si>
  <si>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</si>
  <si>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</si>
  <si>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</si>
  <si>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</si>
  <si>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</si>
  <si>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</si>
  <si>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</si>
  <si>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</si>
  <si>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</si>
  <si>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</si>
  <si>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</si>
  <si>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</si>
  <si>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</si>
  <si>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</si>
  <si>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</si>
  <si>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</si>
  <si>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</si>
  <si>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</si>
  <si>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</si>
  <si>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</si>
  <si>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</si>
  <si>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</si>
  <si>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</si>
  <si>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</si>
  <si>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</si>
  <si>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</si>
  <si>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</si>
  <si>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</si>
  <si>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</si>
  <si>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</si>
  <si>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</si>
  <si>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</si>
  <si>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</si>
  <si>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</si>
  <si>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</si>
  <si>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</si>
  <si>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</si>
  <si>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</si>
  <si>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</si>
  <si>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</si>
  <si>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</si>
  <si>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</si>
  <si>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</si>
  <si>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</si>
  <si>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</si>
  <si>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</si>
  <si>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</si>
  <si>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</si>
  <si>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</si>
  <si>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</si>
  <si>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</si>
  <si>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</si>
  <si>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</si>
  <si>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</si>
  <si>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</si>
  <si>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</si>
  <si>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</si>
  <si>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</si>
  <si>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</si>
  <si>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</si>
  <si>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</si>
  <si>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</si>
  <si>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</si>
  <si>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</si>
  <si>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</si>
  <si>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</si>
  <si>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</si>
  <si>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</si>
  <si>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</si>
  <si>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</si>
  <si>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</si>
  <si>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</si>
  <si>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</si>
  <si>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</si>
  <si>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</si>
  <si>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</si>
  <si>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</si>
  <si>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</si>
  <si>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</si>
  <si>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</si>
  <si>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</si>
  <si>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</si>
  <si>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</si>
  <si>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</si>
  <si>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</si>
  <si>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</si>
  <si>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</si>
  <si>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</si>
  <si>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</si>
  <si>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</si>
  <si>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</si>
  <si>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</si>
  <si>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</si>
  <si>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</si>
  <si>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</si>
  <si>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</si>
  <si>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</si>
  <si>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</si>
  <si>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</si>
  <si>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</si>
  <si>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</si>
  <si>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</si>
  <si>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</si>
  <si>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</si>
  <si>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</si>
  <si>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</si>
  <si>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</si>
  <si>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</si>
  <si>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</si>
  <si>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</si>
  <si>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</si>
  <si>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</si>
  <si>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</si>
  <si>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</si>
  <si>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</si>
  <si>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</si>
  <si>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</si>
  <si>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</si>
  <si>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</si>
  <si>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</si>
  <si>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</si>
  <si>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</si>
  <si>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</si>
  <si>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</si>
  <si>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</si>
  <si>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</si>
  <si>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</si>
  <si>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</si>
  <si>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</si>
  <si>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</si>
  <si>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</si>
  <si>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</si>
  <si>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</si>
  <si>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</si>
  <si>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</si>
  <si>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</si>
  <si>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</si>
  <si>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</si>
  <si>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</si>
  <si>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</si>
  <si>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</si>
  <si>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</si>
  <si>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</si>
  <si>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</si>
  <si>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</si>
  <si>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</si>
  <si>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</si>
  <si>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</si>
  <si>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</si>
  <si>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</si>
  <si>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</si>
  <si>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</si>
  <si>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</si>
  <si>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</si>
  <si>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</si>
  <si>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</si>
  <si>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</si>
  <si>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</si>
  <si>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</si>
  <si>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</si>
  <si>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</si>
  <si>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</si>
  <si>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</si>
  <si>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</si>
  <si>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</si>
  <si>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</si>
  <si>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</si>
  <si>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</si>
  <si>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</si>
  <si>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</si>
  <si>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</si>
  <si>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</si>
  <si>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</si>
  <si>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</si>
  <si>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</si>
  <si>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</si>
  <si>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</si>
  <si>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</si>
  <si>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</si>
  <si>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</si>
  <si>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</si>
  <si>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</si>
  <si>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</si>
  <si>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</si>
  <si>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</si>
  <si>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</si>
  <si>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</si>
  <si>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</si>
  <si>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</si>
  <si>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</si>
  <si>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</si>
  <si>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</si>
  <si>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</si>
  <si>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</si>
  <si>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</si>
  <si>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</si>
  <si>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</si>
  <si>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</si>
  <si>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</si>
  <si>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</si>
  <si>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</si>
  <si>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</si>
  <si>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</si>
  <si>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</si>
  <si>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</si>
  <si>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</si>
  <si>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</si>
  <si>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</si>
  <si>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</si>
  <si>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</si>
  <si>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</si>
  <si>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</si>
  <si>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</si>
  <si>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</si>
  <si>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</si>
  <si>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</si>
  <si>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</si>
  <si>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</si>
  <si>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</si>
  <si>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</si>
  <si>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</si>
  <si>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</si>
  <si>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</si>
  <si>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</si>
  <si>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</si>
  <si>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</si>
  <si>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</si>
  <si>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</si>
  <si>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</si>
  <si>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</si>
  <si>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</si>
  <si>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</si>
  <si>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</si>
  <si>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</si>
  <si>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</si>
  <si>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</si>
  <si>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</si>
  <si>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</si>
  <si>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</si>
  <si>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</si>
  <si>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</si>
  <si>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</si>
  <si>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</si>
  <si>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</si>
  <si>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</si>
  <si>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</si>
  <si>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</si>
  <si>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</si>
  <si>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</si>
  <si>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</si>
  <si>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</si>
  <si>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</si>
  <si>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</si>
  <si>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</si>
  <si>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</si>
  <si>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</si>
  <si>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</si>
  <si>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</si>
  <si>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</si>
  <si>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</si>
  <si>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</si>
  <si>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</si>
  <si>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</si>
  <si>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</si>
  <si>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</si>
  <si>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</si>
  <si>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</si>
  <si>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</si>
  <si>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</si>
  <si>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</si>
  <si>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</si>
  <si>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</si>
  <si>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</si>
  <si>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</si>
  <si>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</si>
  <si>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</si>
  <si>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</si>
  <si>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</si>
  <si>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</si>
  <si>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</si>
  <si>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</si>
  <si>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</si>
  <si>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</si>
  <si>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</si>
  <si>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</si>
  <si>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</si>
  <si>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</si>
  <si>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</si>
  <si>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</si>
  <si>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</si>
  <si>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</si>
  <si>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</si>
  <si>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</si>
  <si>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</si>
  <si>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</si>
  <si>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</si>
  <si>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</si>
  <si>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</si>
  <si>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</si>
  <si>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</si>
  <si>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</si>
  <si>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</si>
  <si>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</si>
  <si>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</si>
  <si>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</si>
  <si>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</si>
  <si>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</si>
  <si>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</si>
  <si>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</si>
  <si>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</si>
  <si>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</si>
  <si>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</si>
  <si>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</si>
  <si>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</si>
  <si>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</si>
  <si>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</si>
  <si>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</si>
  <si>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</si>
  <si>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</si>
  <si>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</si>
  <si>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</si>
  <si>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</si>
  <si>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</si>
  <si>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</si>
  <si>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</si>
  <si>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</si>
  <si>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</si>
  <si>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</si>
  <si>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</si>
  <si>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</si>
  <si>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</si>
  <si>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</si>
  <si>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</si>
  <si>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</si>
  <si>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</si>
  <si>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</si>
  <si>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</si>
  <si>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</si>
  <si>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</si>
  <si>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</si>
  <si>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</si>
  <si>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</si>
  <si>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</si>
  <si>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</si>
  <si>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</si>
  <si>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</si>
  <si>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</si>
  <si>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</si>
  <si>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</si>
  <si>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</si>
  <si>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</si>
  <si>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</si>
  <si>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</si>
  <si>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</si>
  <si>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</si>
  <si>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</si>
  <si>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</si>
  <si>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</si>
  <si>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</si>
  <si>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</si>
  <si>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</si>
  <si>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</si>
  <si>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</si>
  <si>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</si>
  <si>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</si>
  <si>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</si>
  <si>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</si>
  <si>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</si>
  <si>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</si>
  <si>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</si>
  <si>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</si>
  <si>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</si>
  <si>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</si>
  <si>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</si>
  <si>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</si>
  <si>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</si>
  <si>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</si>
  <si>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</si>
  <si>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</si>
  <si>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</si>
  <si>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</si>
  <si>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</si>
  <si>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</si>
  <si>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</si>
  <si>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</si>
  <si>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</si>
  <si>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</si>
  <si>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</si>
  <si>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</si>
  <si>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</si>
  <si>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</si>
  <si>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</si>
  <si>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</si>
  <si>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</si>
  <si>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</si>
  <si>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</si>
  <si>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</si>
  <si>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</si>
  <si>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</si>
  <si>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</si>
  <si>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</si>
  <si>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</si>
  <si>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</si>
  <si>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</si>
  <si>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</si>
  <si>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</si>
  <si>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</si>
  <si>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</si>
  <si>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</si>
  <si>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</si>
  <si>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</si>
  <si>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</si>
  <si>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</si>
  <si>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</si>
  <si>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</si>
  <si>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</si>
  <si>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</si>
  <si>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</si>
  <si>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</si>
  <si>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</si>
  <si>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</si>
  <si>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</si>
  <si>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</si>
  <si>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</si>
  <si>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</si>
  <si>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</si>
  <si>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</si>
  <si>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</si>
  <si>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</si>
  <si>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</si>
  <si>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</si>
  <si>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</si>
  <si>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</si>
  <si>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</si>
  <si>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</si>
  <si>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</si>
  <si>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</si>
  <si>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</si>
  <si>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</si>
  <si>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</si>
  <si>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</si>
  <si>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</si>
  <si>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</si>
  <si>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</si>
  <si>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</si>
  <si>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</si>
  <si>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</si>
  <si>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</si>
  <si>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</si>
  <si>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</si>
  <si>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</si>
  <si>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</si>
  <si>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</si>
  <si>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</si>
  <si>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</si>
  <si>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</si>
  <si>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</si>
  <si>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</si>
  <si>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</si>
  <si>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</si>
  <si>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</si>
  <si>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</si>
  <si>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</si>
  <si>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</si>
  <si>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</si>
  <si>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</si>
  <si>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</si>
  <si>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</si>
  <si>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</si>
  <si>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</si>
  <si>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</si>
  <si>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</si>
  <si>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</si>
  <si>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</si>
  <si>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</si>
  <si>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</si>
  <si>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</si>
  <si>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</si>
  <si>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</si>
  <si>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</si>
  <si>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</si>
  <si>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</si>
  <si>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</si>
  <si>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</si>
  <si>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</si>
  <si>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</si>
  <si>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</si>
  <si>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</si>
  <si>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</si>
  <si>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</si>
  <si>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</si>
  <si>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</si>
  <si>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</si>
  <si>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</si>
  <si>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</si>
  <si>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</si>
  <si>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</si>
  <si>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</si>
  <si>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</si>
  <si>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</si>
  <si>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</si>
  <si>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</si>
  <si>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</si>
  <si>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</si>
  <si>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</si>
  <si>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</si>
  <si>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</si>
  <si>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</si>
  <si>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</si>
  <si>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</si>
  <si>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</si>
  <si>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</si>
  <si>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</si>
  <si>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</si>
  <si>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</si>
  <si>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</si>
  <si>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</si>
  <si>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</si>
  <si>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</si>
  <si>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</si>
  <si>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</si>
  <si>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</si>
  <si>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</si>
  <si>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</si>
  <si>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</si>
  <si>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</si>
  <si>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</si>
  <si>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</si>
  <si>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</si>
  <si>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</si>
  <si>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</si>
  <si>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</si>
  <si>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</si>
  <si>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</si>
  <si>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</si>
  <si>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</si>
  <si>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</si>
  <si>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</si>
  <si>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</si>
  <si>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</si>
  <si>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</si>
  <si>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</si>
  <si>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</si>
  <si>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</si>
  <si>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</si>
  <si>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</si>
  <si>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</si>
  <si>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</si>
  <si>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</si>
  <si>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</si>
  <si>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</si>
  <si>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</si>
  <si>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</si>
  <si>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</si>
  <si>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</si>
  <si>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</si>
  <si>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</si>
  <si>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</si>
  <si>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</si>
  <si>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</si>
  <si>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</si>
  <si>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</si>
  <si>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</si>
  <si>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</si>
  <si>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</si>
  <si>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</si>
  <si>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</si>
  <si>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</si>
  <si>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</si>
  <si>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</si>
  <si>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</si>
  <si>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</si>
  <si>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</si>
  <si>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</si>
  <si>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</si>
  <si>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</si>
  <si>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</si>
  <si>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</si>
  <si>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</si>
  <si>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</si>
  <si>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</si>
  <si>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</si>
  <si>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</si>
  <si>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</si>
  <si>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</si>
  <si>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</si>
  <si>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</si>
  <si>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</si>
  <si>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</si>
  <si>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</si>
  <si>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</si>
  <si>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</si>
  <si>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</si>
  <si>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</si>
  <si>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</si>
  <si>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</si>
  <si>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</si>
  <si>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</si>
  <si>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</si>
  <si>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</si>
  <si>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</si>
  <si>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</si>
  <si>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</si>
  <si>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</si>
  <si>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</si>
  <si>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</si>
  <si>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</si>
  <si>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</si>
  <si>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</si>
  <si>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</si>
  <si>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</si>
  <si>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</si>
  <si>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</si>
  <si>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</si>
  <si>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</si>
  <si>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</si>
  <si>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</si>
  <si>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</si>
  <si>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</si>
  <si>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</si>
  <si>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</si>
  <si>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</si>
  <si>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</si>
  <si>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</si>
  <si>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</si>
  <si>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</si>
  <si>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</si>
  <si>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</si>
  <si>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</si>
  <si>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</si>
  <si>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</si>
  <si>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</si>
  <si>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</si>
  <si>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</si>
  <si>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</si>
  <si>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</si>
  <si>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</si>
  <si>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</si>
  <si>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</si>
  <si>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</si>
  <si>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</si>
  <si>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</si>
  <si>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</si>
  <si>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</si>
  <si>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</si>
  <si>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</si>
  <si>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</si>
  <si>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</si>
  <si>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</si>
  <si>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</si>
  <si>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</si>
  <si>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</si>
  <si>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</si>
  <si>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</si>
  <si>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</si>
  <si>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</si>
  <si>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</si>
  <si>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</si>
  <si>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</si>
  <si>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</si>
  <si>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</si>
  <si>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</si>
  <si>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</si>
  <si>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</si>
  <si>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</si>
  <si>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</si>
  <si>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</si>
  <si>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</si>
  <si>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</si>
  <si>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</si>
  <si>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</si>
  <si>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</si>
  <si>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</si>
  <si>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</si>
  <si>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</si>
  <si>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</si>
  <si>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</si>
  <si>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</si>
  <si>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</si>
  <si>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</si>
  <si>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</si>
  <si>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</si>
  <si>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</si>
  <si>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</si>
  <si>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</si>
  <si>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</si>
  <si>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</si>
  <si>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</si>
  <si>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</si>
  <si>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</si>
  <si>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</si>
  <si>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</si>
  <si>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</si>
  <si>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</si>
  <si>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</si>
  <si>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</si>
  <si>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</si>
  <si>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</si>
  <si>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</si>
  <si>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</si>
  <si>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</si>
  <si>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</si>
  <si>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</si>
  <si>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</si>
  <si>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</si>
  <si>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</si>
  <si>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</si>
  <si>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</si>
  <si>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</si>
  <si>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</si>
  <si>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</si>
  <si>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</si>
  <si>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</si>
  <si>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</si>
  <si>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</si>
  <si>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</si>
  <si>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</si>
  <si>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</si>
  <si>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</si>
  <si>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</si>
  <si>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</si>
  <si>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</si>
  <si>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</si>
  <si>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</si>
  <si>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</si>
  <si>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</si>
  <si>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</si>
  <si>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</si>
  <si>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</si>
  <si>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</si>
  <si>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</si>
  <si>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</si>
  <si>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</si>
  <si>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</si>
  <si>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</si>
  <si>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</si>
  <si>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</si>
  <si>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</si>
  <si>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</si>
  <si>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</si>
  <si>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</si>
  <si>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</si>
  <si>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</si>
  <si>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</si>
  <si>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</si>
  <si>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</si>
  <si>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</si>
  <si>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</si>
  <si>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</si>
  <si>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</si>
  <si>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</si>
  <si>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</si>
  <si>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</si>
  <si>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</si>
  <si>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</si>
  <si>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</si>
  <si>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</si>
  <si>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</si>
  <si>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</si>
  <si>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</si>
  <si>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</si>
  <si>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</si>
  <si>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</si>
  <si>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</si>
  <si>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</si>
  <si>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</si>
  <si>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</si>
  <si>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</si>
  <si>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</si>
  <si>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</si>
  <si>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</si>
  <si>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</si>
  <si>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</si>
  <si>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</si>
  <si>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</si>
  <si>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</si>
  <si>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</si>
  <si>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</si>
  <si>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</si>
  <si>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</si>
  <si>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</si>
  <si>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</si>
  <si>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</si>
  <si>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</si>
  <si>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</si>
  <si>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</si>
  <si>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</si>
  <si>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</si>
  <si>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</si>
  <si>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</si>
  <si>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</si>
  <si>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</si>
  <si>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</si>
  <si>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</si>
  <si>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</si>
  <si>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</si>
  <si>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</si>
  <si>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</si>
  <si>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</si>
  <si>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</si>
  <si>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</si>
  <si>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</si>
  <si>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</si>
  <si>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</si>
  <si>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</si>
  <si>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</si>
  <si>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</si>
  <si>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</si>
  <si>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</si>
  <si>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</si>
  <si>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</si>
  <si>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</si>
  <si>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</si>
  <si>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</si>
  <si>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</si>
  <si>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</si>
  <si>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</si>
  <si>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</si>
  <si>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</si>
  <si>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</si>
  <si>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</si>
  <si>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</si>
  <si>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</si>
  <si>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</si>
  <si>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</si>
  <si>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</si>
  <si>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</si>
  <si>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</si>
  <si>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</si>
  <si>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</si>
  <si>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</si>
  <si>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</si>
  <si>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</si>
  <si>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</si>
  <si>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</si>
  <si>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</si>
  <si>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</si>
  <si>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</si>
  <si>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</si>
  <si>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</si>
  <si>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</si>
  <si>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</si>
  <si>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</si>
  <si>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</si>
  <si>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</si>
  <si>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</si>
  <si>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</si>
  <si>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</si>
  <si>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</si>
  <si>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</si>
  <si>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</si>
  <si>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</si>
  <si>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</si>
  <si>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</si>
  <si>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</si>
  <si>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</si>
  <si>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</si>
  <si>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</si>
  <si>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</si>
  <si>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</si>
  <si>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</si>
  <si>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</si>
  <si>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</si>
  <si>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</si>
  <si>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</si>
  <si>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</si>
  <si>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</si>
  <si>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</si>
  <si>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</si>
  <si>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</si>
  <si>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</si>
  <si>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</si>
  <si>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</si>
  <si>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</si>
  <si>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</si>
  <si>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</si>
  <si>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</si>
  <si>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</si>
  <si>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</si>
  <si>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</si>
  <si>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</si>
  <si>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</si>
  <si>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</si>
  <si>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</si>
  <si>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</si>
  <si>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</si>
  <si>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</si>
  <si>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</si>
  <si>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</si>
  <si>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</si>
  <si>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</si>
  <si>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</si>
  <si>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</si>
  <si>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</si>
  <si>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</si>
  <si>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</si>
  <si>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</si>
  <si>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</si>
  <si>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</si>
  <si>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</si>
  <si>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</si>
  <si>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</si>
  <si>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</si>
  <si>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</si>
  <si>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</si>
  <si>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</si>
  <si>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</si>
  <si>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</si>
  <si>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</si>
  <si>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</si>
  <si>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</si>
  <si>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</si>
  <si>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</si>
  <si>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</si>
  <si>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</si>
  <si>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</si>
  <si>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</si>
  <si>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</si>
  <si>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</si>
  <si>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</si>
  <si>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</si>
  <si>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</si>
  <si>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</si>
  <si>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</si>
  <si>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</si>
  <si>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</si>
  <si>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</si>
  <si>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</si>
  <si>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</si>
  <si>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</si>
  <si>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</si>
  <si>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</si>
  <si>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</si>
  <si>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</si>
  <si>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</si>
  <si>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</si>
  <si>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</si>
  <si>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</si>
  <si>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</si>
  <si>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</si>
  <si>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</si>
  <si>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</si>
  <si>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</si>
  <si>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</si>
  <si>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</si>
  <si>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</si>
  <si>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</si>
  <si>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</si>
  <si>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</si>
  <si>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</si>
  <si>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</si>
  <si>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</si>
  <si>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</si>
  <si>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</si>
  <si>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</si>
  <si>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</si>
  <si>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</si>
  <si>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</si>
  <si>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</si>
  <si>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</si>
  <si>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</si>
  <si>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</si>
  <si>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</si>
  <si>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</si>
  <si>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</si>
  <si>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</si>
  <si>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</si>
  <si>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</si>
  <si>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</si>
  <si>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</si>
  <si>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</si>
  <si>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</si>
  <si>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</si>
  <si>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</si>
  <si>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</si>
  <si>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</si>
  <si>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</si>
  <si>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</si>
  <si>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</si>
  <si>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</si>
  <si>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</si>
  <si>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</si>
  <si>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</si>
  <si>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</si>
  <si>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</si>
  <si>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</si>
  <si>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</si>
  <si>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</si>
  <si>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</si>
  <si>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</si>
  <si>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</si>
  <si>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</si>
  <si>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</si>
  <si>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</si>
  <si>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</si>
  <si>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</si>
  <si>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</si>
  <si>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</si>
  <si>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</si>
  <si>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</si>
  <si>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</si>
  <si>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</si>
  <si>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</si>
  <si>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</si>
  <si>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</si>
  <si>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</si>
  <si>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</si>
  <si>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</si>
  <si>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</si>
  <si>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</si>
  <si>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</si>
  <si>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</si>
  <si>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</si>
  <si>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</si>
  <si>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</si>
  <si>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</si>
  <si>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</si>
  <si>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</si>
  <si>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</si>
  <si>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</si>
  <si>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</si>
  <si>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</si>
  <si>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</si>
  <si>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</si>
  <si>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</si>
  <si>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</si>
  <si>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</si>
  <si>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</si>
  <si>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</si>
  <si>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</si>
  <si>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</si>
  <si>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</si>
  <si>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</si>
  <si>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</si>
  <si>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</si>
  <si>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</si>
  <si>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</si>
  <si>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</si>
  <si>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</si>
  <si>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</si>
  <si>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</si>
  <si>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</si>
  <si>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</si>
  <si>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</si>
  <si>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</si>
  <si>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</si>
  <si>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</si>
  <si>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</si>
  <si>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</si>
  <si>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</si>
  <si>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</si>
  <si>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</si>
  <si>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</si>
  <si>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</si>
  <si>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</si>
  <si>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</si>
  <si>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</si>
  <si>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</si>
  <si>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</si>
  <si>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</si>
  <si>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</si>
  <si>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</si>
  <si>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</si>
  <si>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</si>
  <si>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</si>
  <si>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</si>
  <si>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</si>
  <si>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</si>
  <si>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</si>
  <si>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</si>
  <si>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</si>
  <si>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</si>
  <si>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</si>
  <si>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</si>
  <si>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</si>
  <si>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</si>
  <si>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</si>
  <si>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</si>
  <si>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</si>
  <si>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</si>
  <si>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</si>
  <si>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</si>
  <si>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</si>
  <si>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</si>
  <si>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</si>
  <si>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</si>
  <si>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</si>
  <si>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</si>
  <si>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</si>
  <si>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</si>
  <si>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</si>
  <si>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</si>
  <si>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</si>
  <si>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</si>
  <si>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</si>
  <si>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</si>
  <si>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</si>
  <si>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</si>
  <si>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</si>
  <si>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</si>
  <si>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</si>
  <si>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</si>
  <si>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</si>
  <si>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</si>
  <si>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</si>
  <si>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</si>
  <si>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</si>
  <si>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</si>
  <si>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</si>
  <si>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</si>
  <si>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</si>
  <si>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</si>
  <si>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</si>
  <si>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</si>
  <si>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</si>
  <si>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</si>
  <si>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</si>
  <si>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</si>
  <si>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</si>
  <si>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</si>
  <si>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</si>
  <si>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</si>
  <si>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</si>
  <si>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</si>
  <si>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</si>
  <si>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</si>
  <si>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</si>
  <si>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</si>
  <si>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</si>
  <si>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</si>
  <si>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</si>
  <si>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</si>
  <si>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</si>
  <si>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</si>
  <si>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</si>
  <si>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</si>
  <si>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</si>
  <si>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</si>
  <si>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</si>
  <si>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</si>
  <si>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</si>
  <si>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</si>
  <si>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</si>
  <si>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</si>
  <si>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</si>
  <si>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</si>
  <si>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</si>
  <si>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</si>
  <si>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</si>
  <si>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</si>
  <si>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</si>
  <si>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</si>
  <si>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</si>
  <si>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</si>
  <si>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</si>
  <si>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</si>
  <si>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</si>
  <si>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</si>
  <si>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</si>
  <si>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</si>
  <si>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</si>
  <si>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</si>
  <si>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</si>
  <si>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</si>
  <si>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</si>
  <si>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</si>
  <si>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</si>
  <si>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</si>
  <si>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</si>
  <si>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</si>
  <si>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</si>
  <si>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</si>
  <si>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</si>
  <si>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</si>
  <si>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</si>
  <si>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</si>
  <si>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</si>
  <si>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</si>
  <si>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</si>
  <si>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</si>
  <si>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</si>
  <si>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</si>
  <si>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</si>
  <si>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</si>
  <si>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</si>
  <si>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</si>
  <si>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</si>
  <si>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</si>
  <si>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</si>
  <si>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</si>
  <si>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</si>
  <si>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</si>
  <si>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</si>
  <si>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</si>
  <si>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</si>
  <si>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</si>
  <si>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</si>
  <si>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</si>
  <si>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</si>
  <si>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</si>
  <si>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</si>
  <si>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</si>
  <si>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</si>
  <si>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</si>
  <si>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</si>
  <si>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</si>
  <si>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</si>
  <si>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</si>
  <si>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</si>
  <si>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</si>
  <si>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</si>
  <si>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</si>
  <si>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</si>
  <si>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</si>
  <si>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</si>
  <si>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</si>
  <si>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</si>
  <si>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</si>
  <si>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</si>
  <si>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</si>
  <si>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</si>
  <si>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</si>
  <si>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</si>
  <si>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</si>
  <si>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</si>
  <si>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</si>
  <si>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</si>
  <si>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</si>
  <si>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</si>
  <si>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</si>
  <si>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</si>
  <si>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</si>
  <si>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</si>
  <si>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</si>
  <si>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</si>
  <si>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</si>
  <si>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</si>
  <si>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</si>
  <si>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</si>
  <si>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</si>
  <si>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</si>
  <si>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</si>
  <si>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</si>
  <si>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</si>
  <si>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</si>
  <si>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</si>
  <si>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</si>
  <si>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</si>
  <si>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</si>
  <si>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</si>
  <si>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</si>
  <si>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</si>
  <si>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</si>
  <si>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</si>
  <si>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</si>
  <si>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</si>
  <si>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</si>
  <si>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</si>
  <si>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</si>
  <si>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</si>
  <si>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</si>
  <si>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</si>
  <si>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</si>
  <si>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</si>
  <si>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</si>
  <si>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</si>
  <si>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</si>
  <si>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</si>
  <si>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</si>
  <si>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</si>
  <si>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</si>
  <si>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</si>
  <si>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</si>
  <si>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</si>
  <si>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</si>
  <si>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</si>
  <si>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</si>
  <si>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</si>
  <si>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</si>
  <si>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</si>
  <si>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</si>
  <si>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</si>
  <si>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</si>
  <si>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</si>
  <si>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</si>
  <si>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</si>
  <si>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</si>
  <si>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</si>
  <si>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</si>
  <si>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</si>
  <si>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</si>
  <si>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</si>
  <si>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</si>
  <si>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</si>
  <si>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</si>
  <si>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</si>
  <si>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</si>
  <si>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</si>
  <si>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</si>
  <si>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</si>
  <si>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</si>
  <si>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</si>
  <si>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</si>
  <si>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</si>
  <si>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</si>
  <si>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</si>
  <si>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</si>
  <si>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</si>
  <si>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</si>
  <si>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</si>
  <si>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</si>
  <si>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</si>
  <si>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</si>
  <si>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</si>
  <si>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</si>
  <si>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</si>
  <si>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</si>
  <si>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</si>
  <si>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</si>
  <si>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</si>
  <si>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</si>
  <si>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</si>
  <si>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</si>
  <si>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</si>
  <si>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</si>
  <si>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</si>
  <si>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</si>
  <si>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</si>
  <si>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</si>
  <si>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</si>
  <si>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</si>
  <si>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</si>
  <si>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</si>
  <si>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</si>
  <si>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</si>
  <si>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</si>
  <si>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</si>
  <si>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</si>
  <si>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</si>
  <si>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</si>
  <si>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</si>
  <si>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</si>
  <si>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</si>
  <si>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</si>
  <si>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</si>
  <si>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</si>
  <si>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</si>
  <si>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</si>
  <si>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</si>
  <si>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</si>
  <si>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</si>
  <si>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</si>
  <si>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</si>
  <si>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</si>
  <si>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</si>
  <si>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</si>
  <si>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</si>
  <si>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</si>
  <si>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</si>
  <si>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</si>
  <si>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</si>
  <si>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</si>
  <si>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</si>
  <si>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</si>
  <si>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</si>
  <si>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</si>
  <si>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</si>
  <si>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</si>
  <si>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</si>
  <si>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</si>
  <si>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</si>
  <si>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</si>
  <si>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</si>
  <si>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</si>
  <si>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</si>
  <si>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</si>
  <si>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</si>
  <si>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</si>
  <si>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</si>
  <si>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</si>
  <si>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</si>
  <si>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</si>
  <si>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</si>
  <si>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</si>
  <si>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</si>
  <si>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</si>
  <si>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</si>
  <si>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</si>
  <si>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</si>
  <si>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</si>
  <si>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</si>
  <si>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</si>
  <si>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</si>
  <si>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</si>
  <si>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</si>
  <si>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</si>
  <si>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</si>
  <si>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</si>
  <si>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</si>
  <si>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</si>
  <si>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</si>
  <si>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</si>
  <si>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</si>
  <si>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</si>
  <si>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</si>
  <si>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</si>
  <si>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</si>
  <si>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</si>
  <si>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</si>
  <si>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</si>
  <si>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</si>
  <si>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</si>
  <si>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</si>
  <si>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</si>
  <si>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</si>
  <si>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</si>
  <si>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</si>
  <si>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</si>
  <si>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</si>
  <si>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</si>
  <si>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</si>
  <si>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</si>
  <si>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</si>
  <si>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</si>
  <si>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</si>
  <si>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</si>
  <si>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</si>
  <si>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</si>
  <si>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</si>
  <si>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</si>
  <si>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</si>
  <si>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</si>
  <si>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</si>
  <si>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</si>
  <si>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</si>
  <si>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</si>
  <si>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</si>
  <si>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</si>
  <si>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</si>
  <si>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</si>
  <si>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</si>
  <si>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</si>
  <si>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</si>
  <si>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</si>
  <si>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</si>
  <si>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</si>
  <si>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</si>
  <si>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</si>
  <si>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</si>
  <si>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</si>
  <si>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</si>
  <si>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</si>
  <si>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</si>
  <si>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</si>
  <si>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</si>
  <si>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</si>
  <si>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</si>
  <si>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</si>
  <si>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</si>
  <si>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</si>
  <si>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</si>
  <si>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</si>
  <si>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</si>
  <si>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</si>
  <si>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</si>
  <si>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</si>
  <si>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</si>
  <si>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</si>
  <si>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</si>
  <si>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</si>
  <si>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</si>
  <si>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</si>
  <si>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</si>
  <si>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</si>
  <si>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</si>
  <si>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</si>
  <si>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</si>
  <si>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</si>
  <si>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</si>
  <si>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</si>
  <si>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</si>
  <si>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</si>
  <si>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</si>
  <si>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</si>
  <si>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</si>
  <si>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</si>
  <si>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</si>
  <si>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</si>
  <si>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</si>
  <si>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</si>
  <si>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</si>
  <si>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</si>
  <si>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</si>
  <si>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</si>
  <si>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</si>
  <si>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</si>
  <si>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</si>
  <si>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</si>
  <si>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</si>
  <si>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</si>
  <si>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</si>
  <si>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</si>
  <si>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</si>
  <si>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</si>
  <si>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</si>
  <si>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</si>
  <si>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</si>
  <si>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</si>
  <si>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</si>
  <si>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</si>
  <si>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</si>
  <si>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</si>
  <si>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</si>
  <si>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</si>
  <si>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</si>
  <si>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</si>
  <si>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</si>
  <si>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</si>
  <si>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</si>
  <si>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</si>
  <si>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</si>
  <si>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</si>
  <si>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</si>
  <si>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</si>
  <si>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</si>
  <si>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</si>
  <si>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</si>
  <si>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</si>
  <si>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</si>
  <si>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</si>
  <si>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</si>
  <si>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</si>
  <si>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</si>
  <si>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</si>
  <si>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</si>
  <si>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</si>
  <si>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</si>
  <si>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</si>
  <si>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</si>
  <si>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</si>
  <si>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</si>
  <si>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</si>
  <si>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</si>
  <si>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</si>
  <si>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</si>
  <si>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</si>
  <si>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</si>
  <si>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</si>
  <si>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</si>
  <si>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</si>
  <si>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</si>
  <si>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</si>
  <si>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</si>
  <si>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</si>
  <si>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</si>
  <si>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</si>
  <si>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</si>
  <si>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</si>
  <si>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</si>
  <si>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</si>
  <si>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</si>
  <si>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</si>
  <si>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</si>
  <si>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</si>
  <si>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</si>
  <si>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</si>
  <si>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</si>
  <si>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</si>
  <si>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</si>
  <si>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</si>
  <si>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</si>
  <si>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</si>
  <si>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</si>
  <si>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</si>
  <si>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</si>
  <si>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</si>
  <si>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</si>
  <si>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</si>
  <si>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</si>
  <si>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</si>
  <si>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</si>
  <si>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</si>
  <si>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</si>
  <si>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</si>
  <si>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</si>
  <si>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</si>
  <si>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</si>
  <si>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</si>
  <si>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</si>
  <si>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</si>
  <si>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</si>
  <si>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</si>
  <si>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</si>
  <si>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</si>
  <si>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</si>
  <si>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</si>
  <si>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</si>
  <si>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</si>
  <si>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</si>
  <si>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</si>
  <si>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</si>
  <si>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</si>
  <si>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</si>
  <si>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</si>
  <si>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</si>
  <si>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</si>
  <si>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</si>
  <si>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</si>
  <si>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</si>
  <si>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</si>
  <si>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</si>
  <si>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</si>
  <si>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</si>
  <si>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</si>
  <si>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</si>
  <si>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</si>
  <si>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</si>
  <si>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</si>
  <si>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</si>
  <si>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</si>
  <si>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</si>
  <si>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</si>
  <si>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</si>
  <si>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</si>
  <si>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</si>
  <si>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</si>
  <si>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</si>
  <si>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</si>
  <si>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</si>
  <si>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</si>
  <si>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</si>
  <si>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</si>
  <si>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</si>
  <si>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</si>
  <si>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</si>
  <si>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</si>
  <si>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</si>
  <si>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</si>
  <si>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</si>
  <si>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</si>
  <si>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</si>
  <si>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</si>
  <si>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</si>
  <si>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</si>
  <si>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</si>
  <si>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</si>
  <si>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</si>
  <si>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</si>
  <si>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</si>
  <si>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</si>
  <si>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</si>
  <si>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</si>
  <si>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</si>
  <si>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</si>
  <si>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</si>
  <si>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</si>
  <si>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</si>
  <si>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</si>
  <si>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</si>
  <si>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</si>
  <si>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</si>
  <si>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</si>
  <si>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</si>
  <si>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</si>
  <si>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</si>
  <si>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</si>
  <si>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</si>
  <si>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</si>
  <si>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</si>
  <si>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</si>
  <si>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</si>
  <si>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</si>
  <si>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</si>
  <si>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</si>
  <si>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</si>
  <si>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</si>
  <si>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</si>
  <si>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</si>
  <si>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</si>
  <si>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</si>
  <si>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</si>
  <si>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</si>
  <si>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</si>
  <si>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</si>
  <si>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</si>
  <si>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</si>
  <si>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</si>
  <si>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</si>
  <si>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</si>
  <si>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</si>
  <si>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</si>
  <si>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</si>
  <si>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</si>
  <si>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</si>
  <si>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</si>
  <si>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</si>
  <si>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</si>
  <si>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</si>
  <si>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</si>
  <si>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</si>
  <si>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</si>
  <si>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</si>
  <si>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</si>
  <si>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</si>
  <si>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</si>
  <si>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</si>
  <si>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</si>
  <si>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</si>
  <si>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</si>
  <si>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</si>
  <si>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</si>
  <si>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</si>
  <si>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</si>
  <si>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</si>
  <si>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</si>
  <si>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</si>
  <si>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</si>
  <si>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</si>
  <si>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</si>
  <si>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</si>
  <si>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</si>
  <si>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</si>
  <si>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</si>
  <si>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</si>
  <si>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</si>
  <si>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</si>
  <si>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</si>
  <si>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</si>
  <si>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</si>
  <si>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</si>
  <si>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</si>
  <si>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</si>
  <si>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</si>
  <si>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</si>
  <si>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</si>
  <si>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</si>
  <si>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</si>
  <si>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</si>
  <si>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</si>
  <si>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</si>
  <si>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</si>
  <si>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</si>
  <si>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</si>
  <si>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</si>
  <si>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</si>
  <si>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</si>
  <si>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</si>
  <si>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</si>
  <si>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</si>
  <si>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</si>
  <si>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</si>
  <si>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</si>
  <si>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</si>
  <si>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</si>
  <si>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</si>
  <si>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</si>
  <si>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</si>
  <si>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</si>
  <si>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</si>
  <si>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</si>
  <si>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</si>
  <si>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</si>
  <si>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</si>
  <si>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</si>
  <si>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</si>
  <si>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</si>
  <si>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</si>
  <si>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</si>
  <si>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</si>
  <si>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</si>
  <si>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</si>
  <si>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</si>
  <si>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</si>
  <si>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</si>
  <si>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</si>
  <si>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</si>
  <si>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</si>
  <si>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</si>
  <si>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</si>
  <si>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</si>
  <si>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</si>
  <si>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</si>
  <si>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</si>
  <si>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</si>
  <si>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</si>
  <si>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</si>
  <si>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</si>
  <si>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</si>
  <si>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</si>
  <si>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</si>
  <si>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</si>
  <si>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</si>
  <si>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</si>
  <si>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</si>
  <si>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</si>
  <si>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</si>
  <si>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</si>
  <si>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</si>
  <si>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</si>
  <si>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</si>
  <si>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</si>
  <si>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</si>
  <si>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</si>
  <si>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</si>
  <si>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</si>
  <si>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</si>
  <si>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</si>
  <si>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</si>
  <si>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</si>
  <si>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</si>
  <si>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</si>
  <si>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</si>
  <si>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</si>
  <si>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</si>
  <si>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</si>
  <si>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</si>
  <si>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</si>
  <si>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</si>
  <si>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</si>
  <si>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</si>
  <si>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</si>
  <si>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</si>
  <si>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</si>
  <si>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</si>
  <si>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</si>
  <si>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</si>
  <si>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</si>
  <si>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</si>
  <si>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</si>
  <si>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</si>
  <si>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</si>
  <si>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</si>
  <si>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</si>
  <si>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</si>
  <si>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</si>
  <si>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</si>
  <si>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</si>
  <si>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</si>
  <si>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</si>
  <si>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</si>
  <si>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</si>
  <si>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</si>
  <si>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</si>
  <si>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</si>
  <si>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</si>
  <si>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</si>
  <si>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</si>
  <si>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</si>
  <si>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</si>
  <si>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</si>
  <si>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</si>
  <si>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</si>
  <si>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</si>
  <si>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</si>
  <si>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</si>
  <si>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</si>
  <si>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</si>
  <si>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</si>
  <si>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</si>
  <si>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</si>
  <si>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</si>
  <si>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</si>
  <si>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</si>
  <si>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</si>
  <si>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</si>
  <si>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</si>
  <si>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</si>
  <si>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</si>
  <si>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</si>
  <si>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</si>
  <si>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</si>
  <si>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</si>
  <si>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</si>
  <si>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</si>
  <si>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</si>
  <si>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</si>
  <si>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</si>
  <si>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</si>
  <si>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</si>
  <si>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</si>
  <si>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</si>
  <si>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</si>
  <si>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</si>
  <si>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</si>
  <si>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</si>
  <si>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</si>
  <si>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</si>
  <si>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</si>
  <si>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</si>
  <si>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</si>
  <si>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</si>
  <si>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</si>
  <si>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</si>
  <si>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</si>
  <si>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</si>
  <si>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</si>
  <si>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</si>
  <si>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</si>
  <si>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</si>
  <si>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</si>
  <si>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</si>
  <si>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</si>
  <si>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</si>
  <si>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</si>
  <si>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</si>
  <si>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</si>
  <si>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</si>
  <si>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</si>
  <si>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</si>
  <si>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</si>
  <si>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</si>
  <si>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</si>
  <si>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</si>
  <si>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</si>
  <si>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</si>
  <si>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</si>
  <si>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</si>
  <si>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</si>
  <si>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</si>
  <si>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</si>
  <si>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</si>
  <si>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</si>
  <si>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</si>
  <si>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</si>
  <si>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</si>
  <si>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</si>
  <si>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</si>
  <si>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</si>
  <si>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</si>
  <si>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</si>
  <si>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</si>
  <si>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</si>
  <si>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</si>
  <si>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</si>
  <si>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</si>
  <si>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</si>
  <si>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</si>
  <si>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</si>
  <si>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</si>
  <si>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</si>
  <si>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</si>
  <si>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</si>
  <si>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</si>
  <si>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</si>
  <si>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</si>
  <si>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</si>
  <si>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</si>
  <si>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</si>
  <si>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</si>
  <si>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</si>
  <si>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</si>
  <si>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</si>
  <si>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</si>
  <si>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</si>
  <si>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</si>
  <si>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</si>
  <si>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</si>
  <si>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</si>
  <si>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</si>
  <si>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</si>
  <si>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</si>
  <si>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</si>
  <si>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</si>
  <si>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</si>
  <si>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</si>
  <si>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</si>
  <si>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</si>
  <si>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</si>
  <si>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</si>
  <si>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</si>
  <si>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</si>
  <si>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</si>
  <si>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</si>
  <si>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</si>
  <si>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</si>
  <si>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</si>
  <si>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</si>
  <si>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</si>
  <si>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</si>
  <si>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</si>
  <si>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</si>
  <si>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</si>
  <si>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</si>
  <si>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</si>
  <si>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</si>
  <si>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</si>
  <si>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</si>
  <si>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</si>
  <si>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</si>
  <si>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</si>
  <si>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</si>
  <si>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</si>
  <si>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</si>
  <si>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</si>
  <si>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</si>
  <si>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</si>
  <si>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</si>
  <si>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</si>
  <si>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</si>
  <si>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</si>
  <si>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</si>
  <si>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</si>
  <si>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</si>
  <si>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</si>
  <si>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</si>
  <si>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</si>
  <si>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</si>
  <si>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</si>
  <si>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</si>
  <si>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</si>
  <si>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</si>
  <si>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</si>
  <si>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</si>
  <si>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</si>
  <si>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</si>
  <si>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</si>
  <si>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</si>
  <si>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</si>
  <si>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</si>
  <si>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</si>
  <si>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</si>
  <si>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</si>
  <si>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</si>
  <si>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</si>
  <si>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</si>
  <si>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</si>
  <si>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</si>
  <si>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</si>
  <si>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</si>
  <si>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</si>
  <si>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</si>
  <si>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</si>
  <si>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</si>
  <si>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</si>
  <si>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</si>
  <si>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</si>
  <si>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</si>
  <si>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</si>
  <si>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</si>
  <si>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</si>
  <si>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</si>
  <si>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</si>
  <si>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</si>
  <si>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</si>
  <si>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</si>
  <si>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</si>
  <si>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</si>
  <si>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</si>
  <si>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</si>
  <si>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</si>
  <si>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</si>
  <si>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</si>
  <si>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</si>
  <si>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</si>
  <si>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</si>
  <si>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</si>
  <si>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</si>
  <si>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</si>
  <si>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</si>
  <si>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</si>
  <si>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</si>
  <si>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</si>
  <si>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</si>
  <si>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</si>
  <si>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</si>
  <si>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</si>
  <si>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</si>
  <si>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</si>
  <si>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</si>
  <si>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</si>
  <si>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</si>
  <si>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</si>
  <si>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</si>
  <si>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</si>
  <si>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</si>
  <si>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</si>
  <si>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</si>
  <si>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</si>
  <si>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</si>
  <si>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</si>
  <si>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</si>
  <si>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</si>
  <si>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</si>
  <si>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</si>
  <si>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</si>
  <si>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</si>
  <si>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</si>
  <si>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</si>
  <si>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</si>
  <si>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</si>
  <si>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</si>
  <si>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</si>
  <si>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</si>
  <si>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</si>
  <si>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</si>
  <si>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</si>
  <si>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</si>
  <si>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</si>
  <si>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</si>
  <si>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</si>
  <si>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</si>
  <si>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</si>
  <si>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</si>
  <si>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</si>
  <si>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</si>
  <si>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</si>
  <si>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</si>
  <si>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</si>
  <si>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</si>
  <si>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</si>
  <si>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</si>
  <si>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</si>
  <si>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</si>
  <si>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</si>
  <si>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</si>
  <si>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</si>
  <si>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</si>
  <si>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</si>
  <si>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</si>
  <si>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</si>
  <si>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</si>
  <si>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</si>
  <si>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</si>
  <si>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</si>
  <si>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</si>
  <si>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</si>
  <si>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</si>
  <si>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</si>
  <si>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</si>
  <si>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</si>
  <si>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</si>
  <si>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</si>
  <si>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</si>
  <si>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</si>
  <si>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</si>
  <si>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</si>
  <si>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</si>
  <si>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</si>
  <si>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</si>
  <si>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</si>
  <si>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</si>
  <si>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</si>
  <si>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</si>
  <si>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</si>
  <si>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</si>
  <si>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</si>
  <si>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</si>
  <si>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</si>
  <si>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</si>
  <si>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</si>
  <si>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</si>
  <si>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</si>
  <si>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</si>
  <si>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</si>
  <si>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</si>
  <si>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</si>
  <si>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</si>
  <si>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</si>
  <si>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</si>
  <si>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</si>
  <si>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</si>
  <si>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</si>
  <si>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</si>
  <si>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</si>
  <si>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</si>
  <si>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</si>
  <si>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</si>
  <si>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</si>
  <si>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</si>
  <si>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</si>
  <si>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</si>
  <si>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</si>
  <si>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</si>
  <si>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</si>
  <si>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</si>
  <si>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</si>
  <si>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</si>
  <si>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</si>
  <si>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</si>
  <si>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</si>
  <si>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</si>
  <si>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</si>
  <si>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</si>
  <si>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</si>
  <si>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</si>
  <si>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</si>
  <si>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</si>
  <si>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</si>
  <si>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</si>
  <si>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</si>
  <si>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</si>
  <si>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</si>
  <si>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</si>
  <si>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</si>
  <si>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</si>
  <si>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</si>
  <si>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</si>
  <si>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</si>
  <si>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</si>
  <si>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</si>
  <si>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</si>
  <si>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</si>
  <si>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</si>
  <si>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</si>
  <si>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</si>
  <si>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</si>
  <si>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</si>
  <si>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</si>
  <si>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</si>
  <si>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</si>
  <si>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</si>
  <si>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</si>
  <si>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</si>
  <si>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</si>
  <si>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</si>
  <si>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</si>
  <si>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</si>
  <si>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</si>
  <si>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</si>
  <si>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</si>
  <si>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</si>
  <si>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</si>
  <si>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</si>
  <si>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</si>
  <si>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</si>
  <si>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</si>
  <si>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</si>
  <si>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</si>
  <si>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</si>
  <si>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</si>
  <si>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</si>
  <si>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</si>
  <si>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</si>
  <si>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</si>
  <si>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</si>
  <si>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</si>
  <si>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</si>
  <si>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</si>
  <si>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</si>
  <si>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</si>
  <si>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</si>
  <si>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</si>
  <si>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</si>
  <si>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</si>
  <si>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</si>
  <si>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</si>
  <si>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</si>
  <si>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</si>
  <si>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</si>
  <si>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</si>
  <si>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</si>
  <si>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</si>
  <si>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</si>
  <si>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</si>
  <si>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</si>
  <si>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</si>
  <si>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</si>
  <si>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</si>
  <si>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</si>
  <si>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</si>
  <si>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</si>
  <si>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</si>
  <si>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</si>
  <si>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</si>
  <si>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</si>
  <si>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</si>
  <si>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</si>
  <si>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</si>
  <si>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</si>
  <si>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</si>
  <si>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</si>
  <si>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</si>
  <si>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</si>
  <si>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</si>
  <si>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</si>
  <si>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</si>
  <si>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</si>
  <si>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</si>
  <si>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</si>
  <si>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</si>
  <si>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</si>
  <si>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</si>
  <si>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</si>
  <si>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</si>
  <si>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</si>
  <si>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</si>
  <si>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</si>
  <si>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</si>
  <si>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</si>
  <si>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</si>
  <si>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</si>
  <si>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</si>
  <si>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</si>
  <si>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</si>
  <si>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</si>
  <si>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</si>
  <si>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</si>
  <si>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</si>
  <si>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</si>
  <si>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</si>
  <si>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</si>
  <si>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</si>
  <si>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</si>
  <si>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</si>
  <si>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</si>
  <si>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</si>
  <si>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</si>
  <si>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</si>
  <si>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</si>
  <si>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</si>
  <si>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</si>
  <si>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</si>
  <si>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</si>
  <si>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</si>
  <si>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</si>
  <si>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</si>
  <si>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</si>
  <si>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</si>
  <si>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</si>
  <si>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</si>
  <si>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</si>
  <si>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</si>
  <si>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</si>
  <si>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</si>
  <si>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</si>
  <si>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</si>
  <si>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</si>
  <si>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</si>
  <si>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</si>
  <si>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</si>
  <si>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</si>
  <si>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</si>
  <si>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</si>
  <si>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</si>
  <si>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</si>
  <si>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</si>
  <si>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</si>
  <si>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</si>
  <si>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</si>
  <si>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</si>
  <si>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</si>
  <si>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</si>
  <si>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</si>
  <si>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</si>
  <si>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</si>
  <si>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</si>
  <si>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</si>
  <si>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</si>
  <si>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</si>
  <si>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</si>
  <si>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</si>
  <si>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</si>
  <si>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</si>
  <si>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</si>
  <si>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</si>
  <si>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</si>
  <si>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</si>
  <si>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</si>
  <si>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</si>
  <si>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</si>
  <si>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</si>
  <si>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</si>
  <si>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</si>
  <si>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</si>
  <si>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</si>
  <si>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</si>
  <si>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</si>
  <si>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</si>
  <si>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</si>
  <si>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</si>
  <si>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</si>
  <si>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</si>
  <si>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</si>
  <si>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</si>
  <si>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</si>
  <si>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</si>
  <si>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</si>
  <si>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</si>
  <si>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</si>
  <si>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</si>
  <si>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</si>
  <si>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</si>
  <si>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</si>
  <si>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</si>
  <si>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</si>
  <si>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</si>
  <si>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</si>
  <si>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</si>
  <si>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</si>
  <si>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</si>
  <si>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</si>
  <si>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</si>
  <si>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</si>
  <si>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</si>
  <si>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</si>
  <si>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</si>
  <si>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</si>
  <si>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</si>
  <si>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</si>
  <si>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</si>
  <si>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</si>
  <si>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</si>
  <si>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</si>
  <si>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</si>
  <si>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</si>
  <si>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</si>
  <si>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</si>
  <si>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</si>
  <si>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</si>
  <si>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</si>
  <si>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</si>
  <si>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</si>
  <si>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</si>
  <si>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</si>
  <si>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</si>
  <si>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</si>
  <si>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</si>
  <si>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</si>
  <si>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</si>
  <si>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</si>
  <si>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</si>
  <si>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</si>
  <si>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</si>
  <si>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</si>
  <si>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</si>
  <si>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</si>
  <si>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</si>
  <si>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</si>
  <si>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</si>
  <si>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</si>
  <si>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</si>
  <si>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</si>
  <si>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</si>
  <si>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</si>
  <si>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</si>
  <si>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</si>
  <si>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</si>
  <si>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</si>
  <si>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</si>
  <si>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</si>
  <si>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</si>
  <si>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</si>
  <si>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</si>
  <si>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</si>
  <si>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</si>
  <si>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</si>
  <si>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</si>
  <si>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</si>
  <si>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</si>
  <si>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</si>
  <si>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</si>
  <si>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</si>
  <si>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</si>
  <si>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</si>
  <si>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</si>
  <si>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</si>
  <si>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</si>
  <si>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</si>
  <si>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</si>
  <si>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</si>
  <si>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</si>
  <si>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</si>
  <si>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</si>
  <si>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</si>
  <si>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</si>
  <si>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</si>
  <si>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</si>
  <si>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</si>
  <si>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</si>
  <si>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</si>
  <si>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</si>
  <si>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</si>
  <si>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</si>
  <si>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</si>
  <si>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</si>
  <si>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</si>
  <si>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</si>
  <si>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</si>
  <si>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</si>
  <si>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</si>
  <si>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</si>
  <si>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</si>
  <si>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</si>
  <si>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</si>
  <si>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</si>
  <si>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</si>
  <si>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</si>
  <si>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</si>
  <si>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</si>
  <si>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</si>
  <si>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</si>
  <si>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</si>
  <si>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</si>
  <si>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</si>
  <si>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</si>
  <si>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</si>
  <si>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</si>
  <si>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</si>
  <si>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</si>
  <si>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</si>
  <si>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</si>
  <si>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</si>
  <si>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</si>
  <si>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</si>
  <si>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</si>
  <si>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</si>
  <si>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</si>
  <si>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</si>
  <si>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</si>
  <si>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</si>
  <si>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</si>
  <si>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</si>
  <si>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</si>
  <si>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</si>
  <si>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</si>
  <si>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</si>
  <si>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</si>
  <si>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</si>
  <si>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</si>
  <si>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</si>
  <si>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</si>
  <si>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</si>
  <si>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</si>
  <si>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</si>
  <si>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</si>
  <si>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</si>
  <si>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</si>
  <si>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</si>
  <si>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</si>
  <si>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</si>
  <si>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</si>
  <si>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</si>
  <si>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</si>
  <si>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</si>
  <si>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</si>
  <si>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</si>
  <si>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</si>
  <si>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</si>
  <si>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</si>
  <si>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</si>
  <si>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</si>
  <si>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</si>
  <si>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</si>
  <si>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</si>
  <si>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</si>
  <si>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</si>
  <si>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</si>
  <si>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</si>
  <si>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</si>
  <si>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</si>
  <si>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</si>
  <si>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</si>
  <si>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</si>
  <si>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</si>
  <si>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</si>
  <si>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</si>
  <si>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</si>
  <si>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</si>
  <si>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</si>
  <si>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</si>
  <si>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</si>
  <si>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</si>
  <si>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</si>
  <si>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</si>
  <si>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</si>
  <si>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</si>
  <si>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</si>
  <si>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</si>
  <si>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</si>
  <si>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</si>
  <si>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</si>
  <si>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</si>
  <si>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</si>
  <si>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</si>
  <si>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</si>
  <si>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</si>
  <si>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</si>
  <si>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</si>
  <si>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</si>
  <si>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</si>
  <si>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</si>
  <si>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</si>
  <si>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</si>
  <si>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</si>
  <si>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</si>
  <si>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</si>
  <si>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</si>
  <si>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</si>
  <si>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</si>
  <si>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</si>
  <si>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</si>
  <si>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</si>
  <si>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</si>
  <si>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</si>
  <si>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</si>
  <si>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</si>
  <si>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</si>
  <si>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</si>
  <si>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</si>
  <si>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</si>
  <si>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</si>
  <si>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</si>
  <si>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</si>
  <si>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</si>
  <si>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</si>
  <si>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</si>
  <si>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</si>
  <si>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</si>
  <si>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</si>
  <si>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</si>
  <si>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</si>
  <si>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</si>
  <si>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</si>
  <si>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</si>
  <si>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</si>
  <si>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</si>
  <si>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</si>
  <si>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</si>
  <si>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</si>
  <si>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</si>
  <si>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</si>
  <si>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</si>
  <si>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</si>
  <si>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</si>
  <si>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</si>
  <si>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</si>
  <si>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</si>
  <si>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</si>
  <si>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</si>
  <si>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</si>
  <si>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</si>
  <si>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</si>
  <si>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</si>
  <si>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</si>
  <si>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</si>
  <si>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</si>
  <si>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</si>
  <si>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</si>
  <si>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</si>
  <si>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</si>
  <si>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</si>
  <si>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</si>
  <si>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</si>
  <si>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</si>
  <si>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</si>
  <si>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</si>
  <si>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</si>
  <si>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</si>
  <si>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</si>
  <si>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</si>
  <si>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</si>
  <si>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</si>
  <si>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</si>
  <si>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</si>
  <si>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</si>
  <si>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</si>
  <si>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</si>
  <si>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</si>
  <si>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</si>
  <si>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</si>
  <si>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</si>
  <si>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</si>
  <si>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</si>
  <si>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</si>
  <si>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</si>
  <si>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</si>
  <si>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</si>
  <si>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</si>
  <si>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</si>
  <si>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</si>
  <si>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</si>
  <si>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</si>
  <si>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</si>
  <si>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</si>
  <si>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</si>
  <si>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</si>
  <si>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</si>
  <si>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</si>
  <si>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</si>
  <si>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</si>
  <si>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</si>
  <si>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</si>
  <si>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</si>
  <si>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</si>
  <si>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</si>
  <si>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</si>
  <si>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</si>
  <si>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</si>
  <si>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</si>
  <si>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</si>
  <si>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</si>
  <si>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</si>
  <si>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</si>
  <si>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</si>
  <si>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</si>
  <si>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</si>
  <si>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</si>
  <si>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</si>
  <si>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</si>
  <si>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</si>
  <si>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</si>
  <si>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</si>
  <si>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</si>
  <si>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</si>
  <si>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</si>
  <si>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</si>
  <si>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</si>
  <si>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</si>
  <si>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</si>
  <si>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</si>
  <si>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</si>
  <si>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</si>
  <si>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</si>
  <si>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</si>
  <si>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</si>
  <si>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</si>
  <si>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</si>
  <si>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</si>
  <si>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</si>
  <si>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</si>
  <si>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</si>
  <si>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</si>
  <si>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</si>
  <si>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</si>
  <si>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</si>
  <si>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</si>
  <si>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</si>
  <si>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</si>
  <si>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</si>
  <si>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</si>
  <si>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</si>
  <si>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</si>
  <si>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</si>
  <si>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</si>
  <si>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</si>
  <si>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</si>
  <si>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</si>
  <si>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</si>
  <si>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</si>
  <si>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</si>
  <si>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</si>
  <si>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</si>
  <si>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</si>
  <si>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</si>
  <si>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</si>
  <si>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</si>
  <si>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</si>
  <si>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</si>
  <si>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</si>
  <si>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</si>
  <si>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</si>
  <si>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</si>
  <si>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</si>
  <si>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</si>
  <si>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</si>
  <si>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</si>
  <si>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</si>
  <si>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</si>
  <si>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</si>
  <si>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</si>
  <si>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</si>
  <si>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</si>
  <si>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</si>
  <si>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</si>
  <si>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</si>
  <si>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</si>
  <si>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</si>
  <si>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</si>
  <si>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</si>
  <si>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</si>
  <si>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</si>
  <si>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</si>
  <si>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</si>
  <si>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</si>
  <si>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</si>
  <si>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</si>
  <si>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</si>
  <si>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</si>
  <si>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</si>
  <si>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</si>
  <si>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</si>
  <si>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</si>
  <si>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</si>
  <si>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</si>
  <si>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</si>
  <si>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</si>
  <si>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</si>
  <si>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</si>
  <si>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</si>
  <si>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</si>
  <si>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</si>
  <si>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</si>
  <si>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</si>
  <si>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</si>
  <si>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</si>
  <si>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</si>
  <si>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</si>
  <si>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</si>
  <si>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</si>
  <si>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</si>
  <si>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</si>
  <si>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</si>
  <si>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</si>
  <si>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</si>
  <si>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</si>
  <si>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</si>
  <si>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</si>
  <si>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</si>
  <si>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</si>
  <si>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</si>
  <si>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</si>
  <si>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</si>
  <si>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</si>
  <si>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</si>
  <si>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</si>
  <si>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</si>
  <si>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</si>
  <si>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</si>
  <si>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</si>
  <si>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</si>
  <si>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</si>
  <si>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</si>
  <si>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</si>
  <si>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</si>
  <si>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</si>
  <si>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</si>
  <si>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</si>
  <si>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</si>
  <si>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</si>
  <si>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</si>
  <si>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</si>
  <si>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</si>
  <si>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</si>
  <si>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</si>
  <si>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</si>
  <si>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</si>
  <si>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</si>
  <si>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</si>
  <si>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</si>
  <si>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</si>
  <si>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</si>
  <si>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</si>
  <si>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</si>
  <si>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</si>
  <si>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</si>
  <si>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</si>
  <si>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</si>
  <si>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</si>
  <si>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</si>
  <si>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</si>
  <si>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</si>
  <si>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</si>
  <si>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</si>
  <si>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</si>
  <si>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</si>
  <si>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</si>
  <si>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</si>
  <si>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</si>
  <si>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</si>
  <si>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</si>
  <si>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</si>
  <si>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</si>
  <si>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</si>
  <si>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</si>
  <si>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</si>
  <si>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</si>
  <si>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</si>
  <si>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</si>
  <si>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</si>
  <si>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</si>
  <si>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</si>
  <si>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</si>
  <si>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</si>
  <si>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</si>
  <si>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</si>
  <si>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</si>
  <si>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</si>
  <si>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</si>
  <si>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</si>
  <si>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</si>
  <si>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</si>
  <si>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</si>
  <si>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</si>
  <si>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</si>
  <si>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</si>
  <si>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</si>
  <si>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</si>
  <si>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</si>
  <si>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</si>
  <si>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</si>
  <si>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</si>
  <si>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</si>
  <si>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</si>
  <si>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</si>
  <si>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</si>
  <si>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</si>
  <si>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</si>
  <si>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</si>
  <si>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</si>
  <si>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</si>
  <si>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</si>
  <si>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</si>
  <si>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</si>
  <si>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</si>
  <si>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</si>
  <si>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</si>
  <si>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</si>
  <si>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</si>
  <si>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</si>
  <si>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</si>
  <si>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</si>
  <si>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</si>
  <si>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</si>
  <si>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</si>
  <si>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</si>
  <si>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</si>
  <si>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</si>
  <si>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</si>
  <si>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</si>
  <si>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</si>
  <si>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</si>
  <si>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</si>
  <si>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</si>
  <si>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</si>
  <si>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</si>
  <si>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</si>
  <si>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</si>
  <si>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</si>
  <si>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</si>
  <si>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</si>
  <si>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</si>
  <si>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</si>
  <si>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</si>
  <si>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</si>
  <si>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</si>
  <si>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</si>
  <si>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</si>
  <si>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</si>
  <si>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</si>
  <si>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</si>
  <si>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</si>
  <si>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</si>
  <si>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</si>
  <si>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</si>
  <si>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</si>
  <si>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</si>
  <si>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</si>
  <si>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</si>
  <si>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</si>
  <si>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</si>
  <si>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</si>
  <si>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</si>
  <si>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</si>
  <si>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</si>
  <si>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</si>
  <si>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</si>
  <si>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</si>
  <si>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</si>
  <si>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</si>
  <si>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</si>
  <si>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</si>
  <si>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</si>
  <si>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</si>
  <si>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</si>
  <si>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</si>
  <si>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</si>
  <si>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</si>
  <si>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</si>
  <si>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</si>
  <si>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</si>
  <si>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</si>
  <si>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</si>
  <si>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</si>
  <si>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</si>
  <si>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</si>
  <si>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</si>
  <si>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</si>
  <si>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</si>
  <si>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</si>
  <si>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</si>
  <si>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</si>
  <si>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</si>
  <si>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</si>
  <si>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</si>
  <si>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</si>
  <si>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</si>
  <si>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</si>
  <si>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</si>
  <si>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</si>
  <si>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</si>
  <si>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</si>
  <si>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</si>
  <si>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</si>
  <si>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</si>
  <si>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</si>
  <si>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</si>
  <si>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</si>
  <si>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</si>
  <si>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</si>
  <si>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</si>
  <si>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</si>
  <si>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</si>
  <si>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</si>
  <si>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</si>
  <si>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</si>
  <si>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</si>
  <si>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</si>
  <si>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</si>
  <si>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</si>
  <si>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</si>
  <si>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</si>
  <si>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</si>
  <si>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</si>
  <si>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</si>
  <si>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</si>
  <si>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</si>
  <si>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</si>
  <si>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</si>
  <si>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</si>
  <si>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</si>
  <si>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Arnaud Corbarieu</t>
  </si>
  <si>
    <t xml:space="preserve">Lez</t>
  </si>
  <si>
    <t xml:space="preserve">Prades le Lez</t>
  </si>
  <si>
    <t xml:space="preserve">06188785</t>
  </si>
  <si>
    <t xml:space="preserve">RCS LR 2015</t>
  </si>
  <si>
    <t xml:space="preserve">radier</t>
  </si>
  <si>
    <t xml:space="preserve">pl. lent</t>
  </si>
  <si>
    <t xml:space="preserve">élevé</t>
  </si>
  <si>
    <t xml:space="preserve">abondant</t>
  </si>
  <si>
    <t xml:space="preserve">peu 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</si>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</sst>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31" activeCellId="0" sqref="W3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42258</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9.86764705882353</v>
      </c>
      <c r="N5" s="352"/>
      <c r="O5" s="353" t="s">
        <v>706</v>
      </c>
      <c r="P5" s="354" t="n">
        <v>9.38983050847458</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3461</v>
      </c>
      <c r="Q6" s="367"/>
      <c r="R6" s="309"/>
      <c r="S6" s="309"/>
      <c r="T6" s="309"/>
      <c r="U6" s="309"/>
      <c r="V6" s="309"/>
      <c r="W6" s="323"/>
    </row>
    <row r="7" customFormat="false" ht="12.75" hidden="false" customHeight="false" outlineLevel="0" collapsed="false">
      <c r="A7" s="368" t="s">
        <v>3389</v>
      </c>
      <c r="B7" s="369" t="n">
        <v>12</v>
      </c>
      <c r="C7" s="370" t="n">
        <v>88</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9.95833333333333</v>
      </c>
      <c r="P8" s="384" t="n">
        <f aca="false">IF(ISERROR(AVERAGE(K23:K82)),"  ",AVERAGE(K23:K82))</f>
        <v>1.70833333333333</v>
      </c>
      <c r="Q8" s="385"/>
      <c r="R8" s="309"/>
      <c r="S8" s="309"/>
      <c r="T8" s="309"/>
      <c r="U8" s="309"/>
      <c r="V8" s="309"/>
      <c r="W8" s="323"/>
    </row>
    <row r="9" customFormat="false" ht="12.75" hidden="false" customHeight="false" outlineLevel="0" collapsed="false">
      <c r="A9" s="342" t="s">
        <v>3395</v>
      </c>
      <c r="B9" s="386" t="n">
        <v>67.6</v>
      </c>
      <c r="C9" s="387" t="n">
        <v>16.55</v>
      </c>
      <c r="D9" s="388"/>
      <c r="E9" s="388"/>
      <c r="F9" s="389" t="n">
        <f aca="false">($B9*$B$7+$C9*$C$7)/100</f>
        <v>22.676</v>
      </c>
      <c r="G9" s="390"/>
      <c r="H9" s="345"/>
      <c r="I9" s="309"/>
      <c r="J9" s="391"/>
      <c r="K9" s="392"/>
      <c r="L9" s="375"/>
      <c r="M9" s="393"/>
      <c r="N9" s="383" t="s">
        <v>3396</v>
      </c>
      <c r="O9" s="384" t="n">
        <f aca="false">IF(ISERROR(STDEVP(J23:J82))," ",STDEVP(J23:J82))</f>
        <v>3.1947765527846</v>
      </c>
      <c r="P9" s="384" t="n">
        <f aca="false">IF(ISERROR(STDEVP(K23:K82)),"  ",STDEVP(K23:K82))</f>
        <v>0.675719780842786</v>
      </c>
      <c r="Q9" s="385"/>
      <c r="R9" s="309"/>
      <c r="S9" s="309"/>
      <c r="T9" s="309"/>
      <c r="U9" s="309"/>
      <c r="V9" s="309"/>
      <c r="W9" s="323"/>
    </row>
    <row r="10" customFormat="false" ht="12.75" hidden="false" customHeight="false" outlineLevel="0" collapsed="false">
      <c r="A10" s="342" t="s">
        <v>3397</v>
      </c>
      <c r="B10" s="394" t="s">
        <v>3462</v>
      </c>
      <c r="C10" s="395" t="s">
        <v>3463</v>
      </c>
      <c r="D10" s="388"/>
      <c r="E10" s="388"/>
      <c r="F10" s="389"/>
      <c r="G10" s="390"/>
      <c r="H10" s="358"/>
      <c r="I10" s="309"/>
      <c r="J10" s="396"/>
      <c r="K10" s="397" t="s">
        <v>3398</v>
      </c>
      <c r="L10" s="398"/>
      <c r="M10" s="399"/>
      <c r="N10" s="383" t="s">
        <v>3399</v>
      </c>
      <c r="O10" s="400" t="n">
        <f aca="false">MIN(J23:J82)</f>
        <v>1</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14</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11</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9</v>
      </c>
      <c r="M13" s="409"/>
      <c r="N13" s="417" t="s">
        <v>3407</v>
      </c>
      <c r="O13" s="418" t="n">
        <f aca="false">COUNTIF(F23:F82,"&gt;0")</f>
        <v>32</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24</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11</v>
      </c>
      <c r="M15" s="409"/>
      <c r="N15" s="417" t="s">
        <v>3413</v>
      </c>
      <c r="O15" s="418" t="n">
        <f aca="false">COUNTIF(K23:K82,"=1")</f>
        <v>10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11</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0.75</v>
      </c>
      <c r="N17" s="417" t="s">
        <v>3418</v>
      </c>
      <c r="O17" s="418" t="n">
        <f aca="false">COUNTIF(K23:K82,"=3")</f>
        <v>3</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67.58</v>
      </c>
      <c r="C20" s="461" t="n">
        <f aca="false">SUM(C23:C62)</f>
        <v>16.552</v>
      </c>
      <c r="D20" s="462"/>
      <c r="E20" s="463" t="s">
        <v>3420</v>
      </c>
      <c r="F20" s="464" t="n">
        <f aca="false">($B20*$B$7+$C20*$C$7)/100</f>
        <v>22.67536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8.1096</v>
      </c>
      <c r="C21" s="472" t="n">
        <f aca="false">C20*C7/100</f>
        <v>14.56576</v>
      </c>
      <c r="D21" s="473" t="s">
        <v>3423</v>
      </c>
      <c r="E21" s="474"/>
      <c r="F21" s="475" t="n">
        <f aca="false">B21+C21</f>
        <v>22.67536</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t="n">
        <v>0.005</v>
      </c>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133</v>
      </c>
      <c r="B24" s="519" t="n">
        <v>43</v>
      </c>
      <c r="C24" s="520" t="n">
        <v>6</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10.44</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10.44</v>
      </c>
      <c r="S24" s="514" t="n">
        <f aca="false">IF(OR(ISTEXT(H24),R24=0),"",IF(R24&lt;0.1,1,IF(R24&lt;1,2,IF(R24&lt;10,3,IF(R24&lt;50,4,IF(R24&gt;=50,5,""))))))</f>
        <v>4</v>
      </c>
      <c r="T24" s="514" t="n">
        <f aca="false">IF(ISERROR(S24*J24),0,S24*J24)</f>
        <v>24</v>
      </c>
      <c r="U24" s="514" t="n">
        <f aca="false">IF(ISERROR(S24*J24*K24),0,S24*J24*K24)</f>
        <v>24</v>
      </c>
      <c r="V24" s="530" t="n">
        <f aca="false">IF(ISERROR(S24*K24),0,S24*K24)</f>
        <v>4</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150</v>
      </c>
      <c r="B25" s="519" t="n">
        <v>0.01</v>
      </c>
      <c r="C25" s="520"/>
      <c r="D25" s="521" t="str">
        <f aca="false">IF(ISERROR(VLOOKUP($A25,'liste reference'!$A$6:$B$1174,2,0)),IF(ISERROR(VLOOKUP($A25,'liste reference'!$B$6:$B$1174,1,0)),"",VLOOKUP($A25,'liste reference'!$B$6:$B$1174,1,0)),VLOOKUP($A25,'liste reference'!$A$6:$B$1174,2,0))</f>
        <v>Diatoma sp.</v>
      </c>
      <c r="E25" s="522" t="e">
        <f aca="false">IF(D25="",0,VLOOKUP(D25,D$22:D24,1,0))</f>
        <v>#N/A</v>
      </c>
      <c r="F25" s="523" t="n">
        <f aca="false">IF(AND(OR(A25="",A25="!!!!!!"),B25="",C25=""),"",IF(OR(AND(B25="",C25=""),ISERROR(C25+B25)),"!!!",($B25*$B$7+$C25*$C$7)/100))</f>
        <v>0.0012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Diatoma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6627</v>
      </c>
      <c r="R25" s="513" t="n">
        <f aca="false">IF(ISTEXT(H25),"",(B25*$B$7/100)+(C25*$C$7/100))</f>
        <v>0.0012</v>
      </c>
      <c r="S25" s="514" t="n">
        <f aca="false">IF(OR(ISTEXT(H25),R25=0),"",IF(R25&lt;0.1,1,IF(R25&lt;1,2,IF(R25&lt;10,3,IF(R25&lt;50,4,IF(R25&gt;=50,5,""))))))</f>
        <v>1</v>
      </c>
      <c r="T25" s="514" t="n">
        <f aca="false">IF(ISERROR(S25*J25),0,S25*J25)</f>
        <v>12</v>
      </c>
      <c r="U25" s="514" t="n">
        <f aca="false">IF(ISERROR(S25*J25*K25),0,S25*J25*K25)</f>
        <v>24</v>
      </c>
      <c r="V25" s="530" t="n">
        <f aca="false">IF(ISERROR(S25*K25),0,S25*K25)</f>
        <v>2</v>
      </c>
      <c r="W25" s="531"/>
      <c r="X25" s="532"/>
      <c r="Y25" s="517" t="str">
        <f aca="false">IF(AND(ISNUMBER(F25),OR(A25="",A25="!!!!!!")),"!!!!!!",IF(A25="new.cod","NEWCOD",IF(AND((Z25=""),ISTEXT(A25),A25&lt;&gt;"!!!!!!"),A25,IF(Z25="","",INDEX('liste reference'!$A$6:$A$1174,Z25)))))</f>
        <v>DIASPX</v>
      </c>
      <c r="Z25" s="499" t="n">
        <f aca="false">IF(ISERROR(MATCH(A25,'liste reference'!$A$6:$A$1174,0)),IF(ISERROR(MATCH(A25,'liste reference'!$B$6:$B$1174,0)),"",(MATCH(A25,'liste reference'!$B$6:$B$1174,0))),(MATCH(A25,'liste reference'!$A$6:$A$1174,0)))</f>
        <v>40</v>
      </c>
    </row>
    <row r="26" customFormat="false" ht="12.75" hidden="false" customHeight="false" outlineLevel="0" collapsed="false">
      <c r="A26" s="518" t="s">
        <v>227</v>
      </c>
      <c r="B26" s="519" t="n">
        <v>3.9</v>
      </c>
      <c r="C26" s="520"/>
      <c r="D26" s="521" t="str">
        <f aca="false">IF(ISERROR(VLOOKUP($A26,'liste reference'!$A$6:$B$1174,2,0)),IF(ISERROR(VLOOKUP($A26,'liste reference'!$B$6:$B$1174,1,0)),"",VLOOKUP($A26,'liste reference'!$B$6:$B$1174,1,0)),VLOOKUP($A26,'liste reference'!$A$6:$B$1174,2,0))</f>
        <v>Melosira sp.</v>
      </c>
      <c r="E26" s="522" t="e">
        <f aca="false">IF(D26="",0,VLOOKUP(D26,D$22:D25,1,0))</f>
        <v>#N/A</v>
      </c>
      <c r="F26" s="523" t="n">
        <f aca="false">IF(AND(OR(A26="",A26="!!!!!!"),B26="",C26=""),"",IF(OR(AND(B26="",C26=""),ISERROR(C26+B26)),"!!!",($B26*$B$7+$C26*$C$7)/100))</f>
        <v>0.468</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Melosira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8714</v>
      </c>
      <c r="R26" s="513" t="n">
        <f aca="false">IF(ISTEXT(H26),"",(B26*$B$7/100)+(C26*$C$7/100))</f>
        <v>0.468</v>
      </c>
      <c r="S26" s="514" t="n">
        <f aca="false">IF(OR(ISTEXT(H26),R26=0),"",IF(R26&lt;0.1,1,IF(R26&lt;1,2,IF(R26&lt;10,3,IF(R26&lt;50,4,IF(R26&gt;=50,5,""))))))</f>
        <v>2</v>
      </c>
      <c r="T26" s="514" t="n">
        <f aca="false">IF(ISERROR(S26*J26),0,S26*J26)</f>
        <v>20</v>
      </c>
      <c r="U26" s="514" t="n">
        <f aca="false">IF(ISERROR(S26*J26*K26),0,S26*J26*K26)</f>
        <v>20</v>
      </c>
      <c r="V26" s="530" t="n">
        <f aca="false">IF(ISERROR(S26*K26),0,S26*K26)</f>
        <v>2</v>
      </c>
      <c r="W26" s="531"/>
      <c r="X26" s="532"/>
      <c r="Y26" s="517" t="str">
        <f aca="false">IF(AND(ISNUMBER(F26),OR(A26="",A26="!!!!!!")),"!!!!!!",IF(A26="new.cod","NEWCOD",IF(AND((Z26=""),ISTEXT(A26),A26&lt;&gt;"!!!!!!"),A26,IF(Z26="","",INDEX('liste reference'!$A$6:$A$1174,Z26)))))</f>
        <v>MELSPX</v>
      </c>
      <c r="Z26" s="499" t="n">
        <f aca="false">IF(ISERROR(MATCH(A26,'liste reference'!$A$6:$A$1174,0)),IF(ISERROR(MATCH(A26,'liste reference'!$B$6:$B$1174,0)),"",(MATCH(A26,'liste reference'!$B$6:$B$1174,0))),(MATCH(A26,'liste reference'!$A$6:$A$1174,0)))</f>
        <v>62</v>
      </c>
    </row>
    <row r="27" customFormat="false" ht="12.75" hidden="false" customHeight="false" outlineLevel="0" collapsed="false">
      <c r="A27" s="518" t="s">
        <v>238</v>
      </c>
      <c r="B27" s="519" t="n">
        <v>0.03</v>
      </c>
      <c r="C27" s="520"/>
      <c r="D27" s="521" t="str">
        <f aca="false">IF(ISERROR(VLOOKUP($A27,'liste reference'!$A$6:$B$1174,2,0)),IF(ISERROR(VLOOKUP($A27,'liste reference'!$B$6:$B$1174,1,0)),"",VLOOKUP($A27,'liste reference'!$B$6:$B$1174,1,0)),VLOOKUP($A27,'liste reference'!$A$6:$B$1174,2,0))</f>
        <v>Microspora sp.</v>
      </c>
      <c r="E27" s="522" t="e">
        <f aca="false">IF(D27="",0,VLOOKUP(D27,D$22:D26,1,0))</f>
        <v>#N/A</v>
      </c>
      <c r="F27" s="523" t="n">
        <f aca="false">IF(AND(OR(A27="",A27="!!!!!!"),B27="",C27=""),"",IF(OR(AND(B27="",C27=""),ISERROR(C27+B27)),"!!!",($B27*$B$7+$C27*$C$7)/100))</f>
        <v>0.0036</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Microspora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1132</v>
      </c>
      <c r="R27" s="513" t="n">
        <f aca="false">IF(ISTEXT(H27),"",(B27*$B$7/100)+(C27*$C$7/100))</f>
        <v>0.0036</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MICSPX</v>
      </c>
      <c r="Z27" s="499" t="n">
        <f aca="false">IF(ISERROR(MATCH(A27,'liste reference'!$A$6:$A$1174,0)),IF(ISERROR(MATCH(A27,'liste reference'!$B$6:$B$1174,0)),"",(MATCH(A27,'liste reference'!$B$6:$B$1174,0))),(MATCH(A27,'liste reference'!$A$6:$A$1174,0)))</f>
        <v>66</v>
      </c>
    </row>
    <row r="28" customFormat="false" ht="12.75" hidden="false" customHeight="false" outlineLevel="0" collapsed="false">
      <c r="A28" s="518" t="s">
        <v>308</v>
      </c>
      <c r="B28" s="519" t="n">
        <v>0.07</v>
      </c>
      <c r="C28" s="520" t="n">
        <v>0.01</v>
      </c>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0.0172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0.0172</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335</v>
      </c>
      <c r="B29" s="519"/>
      <c r="C29" s="520" t="n">
        <v>0.005</v>
      </c>
      <c r="D29" s="521" t="str">
        <f aca="false">IF(ISERROR(VLOOKUP($A29,'liste reference'!$A$6:$B$1174,2,0)),IF(ISERROR(VLOOKUP($A29,'liste reference'!$B$6:$B$1174,1,0)),"",VLOOKUP($A29,'liste reference'!$B$6:$B$1174,1,0)),VLOOKUP($A29,'liste reference'!$A$6:$B$1174,2,0))</f>
        <v>Scytonema sp.</v>
      </c>
      <c r="E29" s="522" t="e">
        <f aca="false">IF(D29="",0,VLOOKUP(D29,D$22:D28,1,0))</f>
        <v>#N/A</v>
      </c>
      <c r="F29" s="523" t="n">
        <f aca="false">IF(AND(OR(A29="",A29="!!!!!!"),B29="",C29=""),"",IF(OR(AND(B29="",C29=""),ISERROR(C29+B29)),"!!!",($B29*$B$7+$C29*$C$7)/100))</f>
        <v>0.0044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Scytonema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1114</v>
      </c>
      <c r="R29" s="513" t="n">
        <f aca="false">IF(ISTEXT(H29),"",(B29*$B$7/100)+(C29*$C$7/100))</f>
        <v>0.0044</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SCYSPX</v>
      </c>
      <c r="Z29" s="499" t="n">
        <f aca="false">IF(ISERROR(MATCH(A29,'liste reference'!$A$6:$A$1174,0)),IF(ISERROR(MATCH(A29,'liste reference'!$B$6:$B$1174,0)),"",(MATCH(A29,'liste reference'!$B$6:$B$1174,0))),(MATCH(A29,'liste reference'!$A$6:$A$1174,0)))</f>
        <v>99</v>
      </c>
    </row>
    <row r="30" customFormat="false" ht="12.75" hidden="false" customHeight="false" outlineLevel="0" collapsed="false">
      <c r="A30" s="518" t="s">
        <v>349</v>
      </c>
      <c r="B30" s="519" t="n">
        <v>0.005</v>
      </c>
      <c r="C30" s="520"/>
      <c r="D30" s="521" t="str">
        <f aca="false">IF(ISERROR(VLOOKUP($A30,'liste reference'!$A$6:$B$1174,2,0)),IF(ISERROR(VLOOKUP($A30,'liste reference'!$B$6:$B$1174,1,0)),"",VLOOKUP($A30,'liste reference'!$B$6:$B$1174,1,0)),VLOOKUP($A30,'liste reference'!$A$6:$B$1174,2,0))</f>
        <v>Stigeoclonium tenue</v>
      </c>
      <c r="E30" s="522" t="e">
        <f aca="false">IF(D30="",0,VLOOKUP(D30,D$22:D29,1,0))</f>
        <v>#N/A</v>
      </c>
      <c r="F30" s="523" t="n">
        <f aca="false">IF(AND(OR(A30="",A30="!!!!!!"),B30="",C30=""),"",IF(OR(AND(B30="",C30=""),ISERROR(C30+B30)),"!!!",($B30*$B$7+$C30*$C$7)/100))</f>
        <v>0.0006</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Stigeoclonium tenue</v>
      </c>
      <c r="M30" s="533"/>
      <c r="N30" s="533"/>
      <c r="O30" s="533"/>
      <c r="P30" s="528" t="s">
        <v>3443</v>
      </c>
      <c r="Q30" s="529" t="n">
        <f aca="false">IF(OR($A30="NEWCOD",$A30="!!!!!!"),IF(X30="","NoCod",X30),IF($A30="","",IF(ISERROR(VLOOKUP($A30,'liste reference'!$A$6:$H$1174,8,FALSE())),IF(ISERROR(VLOOKUP($A30,'liste reference'!$B$6:$H$1174,7,FALSE())),"",VLOOKUP($A30,'liste reference'!$B$6:$H$1174,7,FALSE())),VLOOKUP($A30,'liste reference'!$A$6:$H$1174,8,FALSE()))))</f>
        <v>5583</v>
      </c>
      <c r="R30" s="513" t="n">
        <f aca="false">IF(ISTEXT(H30),"",(B30*$B$7/100)+(C30*$C$7/100))</f>
        <v>0.0006</v>
      </c>
      <c r="S30" s="514" t="n">
        <f aca="false">IF(OR(ISTEXT(H30),R30=0),"",IF(R30&lt;0.1,1,IF(R30&lt;1,2,IF(R30&lt;10,3,IF(R30&lt;50,4,IF(R30&gt;=50,5,""))))))</f>
        <v>1</v>
      </c>
      <c r="T30" s="514" t="n">
        <f aca="false">IF(ISERROR(S30*J30),0,S30*J30)</f>
        <v>1</v>
      </c>
      <c r="U30" s="514" t="n">
        <f aca="false">IF(ISERROR(S30*J30*K30),0,S30*J30*K30)</f>
        <v>3</v>
      </c>
      <c r="V30" s="530" t="n">
        <f aca="false">IF(ISERROR(S30*K30),0,S30*K30)</f>
        <v>3</v>
      </c>
      <c r="W30" s="531"/>
      <c r="X30" s="532"/>
      <c r="Y30" s="517" t="str">
        <f aca="false">IF(AND(ISNUMBER(F30),OR(A30="",A30="!!!!!!")),"!!!!!!",IF(A30="new.cod","NEWCOD",IF(AND((Z30=""),ISTEXT(A30),A30&lt;&gt;"!!!!!!"),A30,IF(Z30="","",INDEX('liste reference'!$A$6:$A$1174,Z30)))))</f>
        <v>STITEN</v>
      </c>
      <c r="Z30" s="499" t="n">
        <f aca="false">IF(ISERROR(MATCH(A30,'liste reference'!$A$6:$A$1174,0)),IF(ISERROR(MATCH(A30,'liste reference'!$B$6:$B$1174,0)),"",(MATCH(A30,'liste reference'!$B$6:$B$1174,0))),(MATCH(A30,'liste reference'!$A$6:$A$1174,0)))</f>
        <v>105</v>
      </c>
    </row>
    <row r="31" customFormat="false" ht="12.75" hidden="false" customHeight="false" outlineLevel="0" collapsed="false">
      <c r="A31" s="518" t="s">
        <v>381</v>
      </c>
      <c r="B31" s="519" t="n">
        <v>0.05</v>
      </c>
      <c r="C31" s="520"/>
      <c r="D31" s="521" t="str">
        <f aca="false">IF(ISERROR(VLOOKUP($A31,'liste reference'!$A$6:$B$1174,2,0)),IF(ISERROR(VLOOKUP($A31,'liste reference'!$B$6:$B$1174,1,0)),"",VLOOKUP($A31,'liste reference'!$B$6:$B$1174,1,0)),VLOOKUP($A31,'liste reference'!$A$6:$B$1174,2,0))</f>
        <v>Tribonema sp.</v>
      </c>
      <c r="E31" s="522" t="e">
        <f aca="false">IF(D31="",0,VLOOKUP(D31,D$22:D30,1,0))</f>
        <v>#N/A</v>
      </c>
      <c r="F31" s="523" t="n">
        <f aca="false">IF(AND(OR(A31="",A31="!!!!!!"),B31="",C31=""),"",IF(OR(AND(B31="",C31=""),ISERROR(C31+B31)),"!!!",($B31*$B$7+$C31*$C$7)/100))</f>
        <v>0.006</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11</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Tribonema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1167</v>
      </c>
      <c r="R31" s="513" t="n">
        <f aca="false">IF(ISTEXT(H31),"",(B31*$B$7/100)+(C31*$C$7/100))</f>
        <v>0.006</v>
      </c>
      <c r="S31" s="514" t="n">
        <f aca="false">IF(OR(ISTEXT(H31),R31=0),"",IF(R31&lt;0.1,1,IF(R31&lt;1,2,IF(R31&lt;10,3,IF(R31&lt;50,4,IF(R31&gt;=50,5,""))))))</f>
        <v>1</v>
      </c>
      <c r="T31" s="514" t="n">
        <f aca="false">IF(ISERROR(S31*J31),0,S31*J31)</f>
        <v>11</v>
      </c>
      <c r="U31" s="514" t="n">
        <f aca="false">IF(ISERROR(S31*J31*K31),0,S31*J31*K31)</f>
        <v>22</v>
      </c>
      <c r="V31" s="530" t="n">
        <f aca="false">IF(ISERROR(S31*K31),0,S31*K31)</f>
        <v>2</v>
      </c>
      <c r="W31" s="531"/>
      <c r="X31" s="532"/>
      <c r="Y31" s="517" t="str">
        <f aca="false">IF(AND(ISNUMBER(F31),OR(A31="",A31="!!!!!!")),"!!!!!!",IF(A31="new.cod","NEWCOD",IF(AND((Z31=""),ISTEXT(A31),A31&lt;&gt;"!!!!!!"),A31,IF(Z31="","",INDEX('liste reference'!$A$6:$A$1174,Z31)))))</f>
        <v>TRISPX</v>
      </c>
      <c r="Z31" s="499" t="n">
        <f aca="false">IF(ISERROR(MATCH(A31,'liste reference'!$A$6:$A$1174,0)),IF(ISERROR(MATCH(A31,'liste reference'!$B$6:$B$1174,0)),"",(MATCH(A31,'liste reference'!$B$6:$B$1174,0))),(MATCH(A31,'liste reference'!$A$6:$A$1174,0)))</f>
        <v>115</v>
      </c>
    </row>
    <row r="32" customFormat="false" ht="12.75" hidden="false" customHeight="false" outlineLevel="0" collapsed="false">
      <c r="A32" s="518" t="s">
        <v>384</v>
      </c>
      <c r="B32" s="519" t="n">
        <v>0.01</v>
      </c>
      <c r="C32" s="520"/>
      <c r="D32" s="521" t="str">
        <f aca="false">IF(ISERROR(VLOOKUP($A32,'liste reference'!$A$6:$B$1174,2,0)),IF(ISERROR(VLOOKUP($A32,'liste reference'!$B$6:$B$1174,1,0)),"",VLOOKUP($A32,'liste reference'!$B$6:$B$1174,1,0)),VLOOKUP($A32,'liste reference'!$A$6:$B$1174,2,0))</f>
        <v>Ulothrix sp.</v>
      </c>
      <c r="E32" s="522" t="e">
        <f aca="false">IF(D32="",0,VLOOKUP(D32,D$22:D31,1,0))</f>
        <v>#N/A</v>
      </c>
      <c r="F32" s="523" t="n">
        <f aca="false">IF(AND(OR(A32="",A32="!!!!!!"),B32="",C32=""),"",IF(OR(AND(B32="",C32=""),ISERROR(C32+B32)),"!!!",($B32*$B$7+$C32*$C$7)/100))</f>
        <v>0.0012</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Ulothrix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1142</v>
      </c>
      <c r="R32" s="513" t="n">
        <f aca="false">IF(ISTEXT(H32),"",(B32*$B$7/100)+(C32*$C$7/100))</f>
        <v>0.0012</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ULOSPX</v>
      </c>
      <c r="Z32" s="499" t="n">
        <f aca="false">IF(ISERROR(MATCH(A32,'liste reference'!$A$6:$A$1174,0)),IF(ISERROR(MATCH(A32,'liste reference'!$B$6:$B$1174,0)),"",(MATCH(A32,'liste reference'!$B$6:$B$1174,0))),(MATCH(A32,'liste reference'!$A$6:$A$1174,0)))</f>
        <v>116</v>
      </c>
    </row>
    <row r="33" customFormat="false" ht="12.75" hidden="false" customHeight="false" outlineLevel="0" collapsed="false">
      <c r="A33" s="518" t="s">
        <v>394</v>
      </c>
      <c r="B33" s="519"/>
      <c r="C33" s="520" t="n">
        <v>0.25</v>
      </c>
      <c r="D33" s="521" t="str">
        <f aca="false">IF(ISERROR(VLOOKUP($A33,'liste reference'!$A$6:$B$1174,2,0)),IF(ISERROR(VLOOKUP($A33,'liste reference'!$B$6:$B$1174,1,0)),"",VLOOKUP($A33,'liste reference'!$B$6:$B$1174,1,0)),VLOOKUP($A33,'liste reference'!$A$6:$B$1174,2,0))</f>
        <v>Vaucheria sp.</v>
      </c>
      <c r="E33" s="522" t="e">
        <f aca="false">IF(D33="",0,VLOOKUP(D33,D$22:D32,1,0))</f>
        <v>#N/A</v>
      </c>
      <c r="F33" s="523" t="n">
        <f aca="false">IF(AND(OR(A33="",A33="!!!!!!"),B33="",C33=""),"",IF(OR(AND(B33="",C33=""),ISERROR(C33+B33)),"!!!",($B33*$B$7+$C33*$C$7)/100))</f>
        <v>0.22</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4</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Vaucheria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1169</v>
      </c>
      <c r="R33" s="513" t="n">
        <f aca="false">IF(ISTEXT(H33),"",(B33*$B$7/100)+(C33*$C$7/100))</f>
        <v>0.22</v>
      </c>
      <c r="S33" s="514" t="n">
        <f aca="false">IF(OR(ISTEXT(H33),R33=0),"",IF(R33&lt;0.1,1,IF(R33&lt;1,2,IF(R33&lt;10,3,IF(R33&lt;50,4,IF(R33&gt;=50,5,""))))))</f>
        <v>2</v>
      </c>
      <c r="T33" s="514" t="n">
        <f aca="false">IF(ISERROR(S33*J33),0,S33*J33)</f>
        <v>8</v>
      </c>
      <c r="U33" s="514" t="n">
        <f aca="false">IF(ISERROR(S33*J33*K33),0,S33*J33*K33)</f>
        <v>8</v>
      </c>
      <c r="V33" s="530" t="n">
        <f aca="false">IF(ISERROR(S33*K33),0,S33*K33)</f>
        <v>2</v>
      </c>
      <c r="W33" s="531"/>
      <c r="X33" s="532"/>
      <c r="Y33" s="517" t="str">
        <f aca="false">IF(AND(ISNUMBER(F33),OR(A33="",A33="!!!!!!")),"!!!!!!",IF(A33="new.cod","NEWCOD",IF(AND((Z33=""),ISTEXT(A33),A33&lt;&gt;"!!!!!!"),A33,IF(Z33="","",INDEX('liste reference'!$A$6:$A$1174,Z33)))))</f>
        <v>VAUSPX</v>
      </c>
      <c r="Z33" s="499" t="n">
        <f aca="false">IF(ISERROR(MATCH(A33,'liste reference'!$A$6:$A$1174,0)),IF(ISERROR(MATCH(A33,'liste reference'!$B$6:$B$1174,0)),"",(MATCH(A33,'liste reference'!$B$6:$B$1174,0))),(MATCH(A33,'liste reference'!$A$6:$A$1174,0)))</f>
        <v>118</v>
      </c>
    </row>
    <row r="34" customFormat="false" ht="12.75" hidden="false" customHeight="false" outlineLevel="0" collapsed="false">
      <c r="A34" s="518" t="s">
        <v>547</v>
      </c>
      <c r="B34" s="519" t="n">
        <v>0.005</v>
      </c>
      <c r="C34" s="520" t="n">
        <v>0.005</v>
      </c>
      <c r="D34" s="521" t="str">
        <f aca="false">IF(ISERROR(VLOOKUP($A34,'liste reference'!$A$6:$B$1174,2,0)),IF(ISERROR(VLOOKUP($A34,'liste reference'!$B$6:$B$1174,1,0)),"",VLOOKUP($A34,'liste reference'!$B$6:$B$1174,1,0)),VLOOKUP($A34,'liste reference'!$A$6:$B$1174,2,0))</f>
        <v>Pellia endiviifolia</v>
      </c>
      <c r="E34" s="522" t="e">
        <f aca="false">IF(D34="",0,VLOOKUP(D34,D$22:D33,1,0))</f>
        <v>#N/A</v>
      </c>
      <c r="F34" s="523" t="n">
        <f aca="false">IF(AND(OR(A34="",A34="!!!!!!"),B34="",C34=""),"",IF(OR(AND(B34="",C34=""),ISERROR(C34+B34)),"!!!",($B34*$B$7+$C34*$C$7)/100))</f>
        <v>0.005</v>
      </c>
      <c r="G34" s="524" t="str">
        <f aca="false">IF(A34="","",IF(ISERROR(VLOOKUP($A34,'liste reference'!$A$6:$Q$1174,9,0)),IF(ISERROR(VLOOKUP($A34,'liste reference'!$B$6:$Q$1174,8,0)),"    -",VLOOKUP($A34,'liste reference'!$B$6:$Q$1174,8,0)),VLOOKUP($A34,'liste reference'!$A$6:$Q$1174,9,0)))</f>
        <v>BRh</v>
      </c>
      <c r="H34" s="525" t="n">
        <f aca="false">IF(A34="","x",IF(ISERROR(VLOOKUP($A34,'liste reference'!$A$6:$Q$1174,10,0)),IF(ISERROR(VLOOKUP($A34,'liste reference'!$B$6:$Q$1174,9,0)),"x",VLOOKUP($A34,'liste reference'!$B$6:$Q$1174,9,0)),VLOOKUP($A34,'liste reference'!$A$6:$Q$1174,10,0)))</f>
        <v>4</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Pellia endiviifolia</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1197</v>
      </c>
      <c r="R34" s="513" t="n">
        <f aca="false">IF(ISTEXT(H34),"",(B34*$B$7/100)+(C34*$C$7/100))</f>
        <v>0.005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PELEND</v>
      </c>
      <c r="Z34" s="499" t="n">
        <f aca="false">IF(ISERROR(MATCH(A34,'liste reference'!$A$6:$A$1174,0)),IF(ISERROR(MATCH(A34,'liste reference'!$B$6:$B$1174,0)),"",(MATCH(A34,'liste reference'!$B$6:$B$1174,0))),(MATCH(A34,'liste reference'!$A$6:$A$1174,0)))</f>
        <v>167</v>
      </c>
    </row>
    <row r="35" customFormat="false" ht="12.75" hidden="false" customHeight="false" outlineLevel="0" collapsed="false">
      <c r="A35" s="518" t="s">
        <v>706</v>
      </c>
      <c r="B35" s="519" t="n">
        <v>13</v>
      </c>
      <c r="C35" s="520" t="n">
        <v>0.1</v>
      </c>
      <c r="D35" s="521" t="str">
        <f aca="false">IF(ISERROR(VLOOKUP($A35,'liste reference'!$A$6:$B$1174,2,0)),IF(ISERROR(VLOOKUP($A35,'liste reference'!$B$6:$B$1174,1,0)),"",VLOOKUP($A35,'liste reference'!$B$6:$B$1174,1,0)),VLOOKUP($A35,'liste reference'!$A$6:$B$1174,2,0))</f>
        <v>Cinclidotus danubicus</v>
      </c>
      <c r="E35" s="522" t="e">
        <f aca="false">IF(D35="",0,VLOOKUP(D35,D$22:D34,1,0))</f>
        <v>#N/A</v>
      </c>
      <c r="F35" s="523" t="n">
        <f aca="false">IF(AND(OR(A35="",A35="!!!!!!"),B35="",C35=""),"",IF(OR(AND(B35="",C35=""),ISERROR(C35+B35)),"!!!",($B35*$B$7+$C35*$C$7)/100))</f>
        <v>1.648</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13</v>
      </c>
      <c r="K35" s="526" t="n">
        <f aca="false">IF(ISNUMBER($H35),IF(ISERROR(VLOOKUP($A35,'liste reference'!$A$6:$Q$1174,7,0)),IF(ISERROR(VLOOKUP($A35,'liste reference'!$B$6:$Q$1174,6,0)),"nu",VLOOKUP($A35,'liste reference'!$B$6:$Q$1174,6,0)),VLOOKUP($A35,'liste reference'!$A$6:$Q$1174,7,0)),"nu")</f>
        <v>3</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Cinclidotus danubicus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1319</v>
      </c>
      <c r="R35" s="513" t="n">
        <f aca="false">IF(ISTEXT(H35),"",(B35*$B$7/100)+(C35*$C$7/100))</f>
        <v>1.648</v>
      </c>
      <c r="S35" s="514" t="n">
        <f aca="false">IF(OR(ISTEXT(H35),R35=0),"",IF(R35&lt;0.1,1,IF(R35&lt;1,2,IF(R35&lt;10,3,IF(R35&lt;50,4,IF(R35&gt;=50,5,""))))))</f>
        <v>3</v>
      </c>
      <c r="T35" s="514" t="n">
        <f aca="false">IF(ISERROR(S35*J35),0,S35*J35)</f>
        <v>39</v>
      </c>
      <c r="U35" s="514" t="n">
        <f aca="false">IF(ISERROR(S35*J35*K35),0,S35*J35*K35)</f>
        <v>117</v>
      </c>
      <c r="V35" s="530" t="n">
        <f aca="false">IF(ISERROR(S35*K35),0,S35*K35)</f>
        <v>9</v>
      </c>
      <c r="W35" s="531"/>
      <c r="X35" s="532"/>
      <c r="Y35" s="517" t="str">
        <f aca="false">IF(AND(ISNUMBER(F35),OR(A35="",A35="!!!!!!")),"!!!!!!",IF(A35="new.cod","NEWCOD",IF(AND((Z35=""),ISTEXT(A35),A35&lt;&gt;"!!!!!!"),A35,IF(Z35="","",INDEX('liste reference'!$A$6:$A$1174,Z35)))))</f>
        <v>CINDAN</v>
      </c>
      <c r="Z35" s="499" t="n">
        <f aca="false">IF(ISERROR(MATCH(A35,'liste reference'!$A$6:$A$1174,0)),IF(ISERROR(MATCH(A35,'liste reference'!$B$6:$B$1174,0)),"",(MATCH(A35,'liste reference'!$B$6:$B$1174,0))),(MATCH(A35,'liste reference'!$A$6:$A$1174,0)))</f>
        <v>222</v>
      </c>
    </row>
    <row r="36" customFormat="false" ht="12.75" hidden="false" customHeight="false" outlineLevel="0" collapsed="false">
      <c r="A36" s="518" t="s">
        <v>711</v>
      </c>
      <c r="B36" s="519" t="n">
        <v>0.005</v>
      </c>
      <c r="C36" s="520"/>
      <c r="D36" s="521" t="str">
        <f aca="false">IF(ISERROR(VLOOKUP($A36,'liste reference'!$A$6:$B$1174,2,0)),IF(ISERROR(VLOOKUP($A36,'liste reference'!$B$6:$B$1174,1,0)),"",VLOOKUP($A36,'liste reference'!$B$6:$B$1174,1,0)),VLOOKUP($A36,'liste reference'!$A$6:$B$1174,2,0))</f>
        <v>Cinclidotus riparius</v>
      </c>
      <c r="E36" s="522" t="e">
        <f aca="false">IF(D36="",0,VLOOKUP(D36,D$22:D35,1,0))</f>
        <v>#N/A</v>
      </c>
      <c r="F36" s="523" t="n">
        <f aca="false">IF(AND(OR(A36="",A36="!!!!!!"),B36="",C36=""),"",IF(OR(AND(B36="",C36=""),ISERROR(C36+B36)),"!!!",($B36*$B$7+$C36*$C$7)/100))</f>
        <v>0.0006</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13</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Cinclidotus riparius</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1321</v>
      </c>
      <c r="R36" s="513" t="n">
        <f aca="false">IF(ISTEXT(H36),"",(B36*$B$7/100)+(C36*$C$7/100))</f>
        <v>0.0006</v>
      </c>
      <c r="S36" s="514" t="n">
        <f aca="false">IF(OR(ISTEXT(H36),R36=0),"",IF(R36&lt;0.1,1,IF(R36&lt;1,2,IF(R36&lt;10,3,IF(R36&lt;50,4,IF(R36&gt;=50,5,""))))))</f>
        <v>1</v>
      </c>
      <c r="T36" s="514" t="n">
        <f aca="false">IF(ISERROR(S36*J36),0,S36*J36)</f>
        <v>13</v>
      </c>
      <c r="U36" s="514" t="n">
        <f aca="false">IF(ISERROR(S36*J36*K36),0,S36*J36*K36)</f>
        <v>26</v>
      </c>
      <c r="V36" s="530" t="n">
        <f aca="false">IF(ISERROR(S36*K36),0,S36*K36)</f>
        <v>2</v>
      </c>
      <c r="W36" s="531"/>
      <c r="X36" s="532"/>
      <c r="Y36" s="517" t="str">
        <f aca="false">IF(AND(ISNUMBER(F36),OR(A36="",A36="!!!!!!")),"!!!!!!",IF(A36="new.cod","NEWCOD",IF(AND((Z36=""),ISTEXT(A36),A36&lt;&gt;"!!!!!!"),A36,IF(Z36="","",INDEX('liste reference'!$A$6:$A$1174,Z36)))))</f>
        <v>CINRIP</v>
      </c>
      <c r="Z36" s="499" t="n">
        <f aca="false">IF(ISERROR(MATCH(A36,'liste reference'!$A$6:$A$1174,0)),IF(ISERROR(MATCH(A36,'liste reference'!$B$6:$B$1174,0)),"",(MATCH(A36,'liste reference'!$B$6:$B$1174,0))),(MATCH(A36,'liste reference'!$A$6:$A$1174,0)))</f>
        <v>224</v>
      </c>
    </row>
    <row r="37" customFormat="false" ht="12.75" hidden="false" customHeight="false" outlineLevel="0" collapsed="false">
      <c r="A37" s="518" t="s">
        <v>829</v>
      </c>
      <c r="B37" s="519" t="n">
        <v>5</v>
      </c>
      <c r="C37" s="520" t="n">
        <v>3</v>
      </c>
      <c r="D37" s="521" t="str">
        <f aca="false">IF(ISERROR(VLOOKUP($A37,'liste reference'!$A$6:$B$1174,2,0)),IF(ISERROR(VLOOKUP($A37,'liste reference'!$B$6:$B$1174,1,0)),"",VLOOKUP($A37,'liste reference'!$B$6:$B$1174,1,0)),VLOOKUP($A37,'liste reference'!$A$6:$B$1174,2,0))</f>
        <v>Fissidens crassipes</v>
      </c>
      <c r="E37" s="522" t="e">
        <f aca="false">IF(D37="",0,VLOOKUP(D37,D$22:D36,1,0))</f>
        <v>#N/A</v>
      </c>
      <c r="F37" s="523" t="n">
        <f aca="false">IF(AND(OR(A37="",A37="!!!!!!"),B37="",C37=""),"",IF(OR(AND(B37="",C37=""),ISERROR(C37+B37)),"!!!",($B37*$B$7+$C37*$C$7)/100))</f>
        <v>3.24</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Fissidens crassipes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1294</v>
      </c>
      <c r="R37" s="513" t="n">
        <f aca="false">IF(ISTEXT(H37),"",(B37*$B$7/100)+(C37*$C$7/100))</f>
        <v>3.24</v>
      </c>
      <c r="S37" s="514" t="n">
        <f aca="false">IF(OR(ISTEXT(H37),R37=0),"",IF(R37&lt;0.1,1,IF(R37&lt;1,2,IF(R37&lt;10,3,IF(R37&lt;50,4,IF(R37&gt;=50,5,""))))))</f>
        <v>3</v>
      </c>
      <c r="T37" s="514" t="n">
        <f aca="false">IF(ISERROR(S37*J37),0,S37*J37)</f>
        <v>36</v>
      </c>
      <c r="U37" s="514" t="n">
        <f aca="false">IF(ISERROR(S37*J37*K37),0,S37*J37*K37)</f>
        <v>72</v>
      </c>
      <c r="V37" s="530" t="n">
        <f aca="false">IF(ISERROR(S37*K37),0,S37*K37)</f>
        <v>6</v>
      </c>
      <c r="W37" s="531"/>
      <c r="X37" s="532"/>
      <c r="Y37" s="517" t="str">
        <f aca="false">IF(AND(ISNUMBER(F37),OR(A37="",A37="!!!!!!")),"!!!!!!",IF(A37="new.cod","NEWCOD",IF(AND((Z37=""),ISTEXT(A37),A37&lt;&gt;"!!!!!!"),A37,IF(Z37="","",INDEX('liste reference'!$A$6:$A$1174,Z37)))))</f>
        <v>FISCRA</v>
      </c>
      <c r="Z37" s="499" t="n">
        <f aca="false">IF(ISERROR(MATCH(A37,'liste reference'!$A$6:$A$1174,0)),IF(ISERROR(MATCH(A37,'liste reference'!$B$6:$B$1174,0)),"",(MATCH(A37,'liste reference'!$B$6:$B$1174,0))),(MATCH(A37,'liste reference'!$A$6:$A$1174,0)))</f>
        <v>255</v>
      </c>
    </row>
    <row r="38" customFormat="false" ht="12.75" hidden="false" customHeight="false" outlineLevel="0" collapsed="false">
      <c r="A38" s="518" t="s">
        <v>843</v>
      </c>
      <c r="B38" s="519" t="n">
        <v>0.2</v>
      </c>
      <c r="C38" s="520" t="n">
        <v>4</v>
      </c>
      <c r="D38" s="521" t="str">
        <f aca="false">IF(ISERROR(VLOOKUP($A38,'liste reference'!$A$6:$B$1174,2,0)),IF(ISERROR(VLOOKUP($A38,'liste reference'!$B$6:$B$1174,1,0)),"",VLOOKUP($A38,'liste reference'!$B$6:$B$1174,1,0)),VLOOKUP($A38,'liste reference'!$A$6:$B$1174,2,0))</f>
        <v>Fissidens fontanus</v>
      </c>
      <c r="E38" s="522" t="e">
        <f aca="false">IF(D38="",0,VLOOKUP(D38,D$22:D37,1,0))</f>
        <v>#N/A</v>
      </c>
      <c r="F38" s="523" t="n">
        <f aca="false">IF(AND(OR(A38="",A38="!!!!!!"),B38="",C38=""),"",IF(OR(AND(B38="",C38=""),ISERROR(C38+B38)),"!!!",($B38*$B$7+$C38*$C$7)/100))</f>
        <v>3.544</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7</v>
      </c>
      <c r="K38" s="526" t="n">
        <f aca="false">IF(ISNUMBER($H38),IF(ISERROR(VLOOKUP($A38,'liste reference'!$A$6:$Q$1174,7,0)),IF(ISERROR(VLOOKUP($A38,'liste reference'!$B$6:$Q$1174,6,0)),"nu",VLOOKUP($A38,'liste reference'!$B$6:$Q$1174,6,0)),VLOOKUP($A38,'liste reference'!$A$6:$Q$1174,7,0)),"nu")</f>
        <v>3</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Fissidens fontanus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31545</v>
      </c>
      <c r="R38" s="513" t="n">
        <f aca="false">IF(ISTEXT(H38),"",(B38*$B$7/100)+(C38*$C$7/100))</f>
        <v>3.544</v>
      </c>
      <c r="S38" s="514" t="n">
        <f aca="false">IF(OR(ISTEXT(H38),R38=0),"",IF(R38&lt;0.1,1,IF(R38&lt;1,2,IF(R38&lt;10,3,IF(R38&lt;50,4,IF(R38&gt;=50,5,""))))))</f>
        <v>3</v>
      </c>
      <c r="T38" s="514" t="n">
        <f aca="false">IF(ISERROR(S38*J38),0,S38*J38)</f>
        <v>21</v>
      </c>
      <c r="U38" s="514" t="n">
        <f aca="false">IF(ISERROR(S38*J38*K38),0,S38*J38*K38)</f>
        <v>63</v>
      </c>
      <c r="V38" s="530" t="n">
        <f aca="false">IF(ISERROR(S38*K38),0,S38*K38)</f>
        <v>9</v>
      </c>
      <c r="W38" s="531"/>
      <c r="X38" s="532"/>
      <c r="Y38" s="517" t="str">
        <f aca="false">IF(AND(ISNUMBER(F38),OR(A38="",A38="!!!!!!")),"!!!!!!",IF(A38="new.cod","NEWCOD",IF(AND((Z38=""),ISTEXT(A38),A38&lt;&gt;"!!!!!!"),A38,IF(Z38="","",INDEX('liste reference'!$A$6:$A$1174,Z38)))))</f>
        <v>FISFON</v>
      </c>
      <c r="Z38" s="499" t="n">
        <f aca="false">IF(ISERROR(MATCH(A38,'liste reference'!$A$6:$A$1174,0)),IF(ISERROR(MATCH(A38,'liste reference'!$B$6:$B$1174,0)),"",(MATCH(A38,'liste reference'!$B$6:$B$1174,0))),(MATCH(A38,'liste reference'!$A$6:$A$1174,0)))</f>
        <v>259</v>
      </c>
    </row>
    <row r="39" customFormat="false" ht="12.75" hidden="false" customHeight="false" outlineLevel="0" collapsed="false">
      <c r="A39" s="518" t="s">
        <v>888</v>
      </c>
      <c r="B39" s="519" t="n">
        <v>0.05</v>
      </c>
      <c r="C39" s="520" t="n">
        <v>1.5</v>
      </c>
      <c r="D39" s="521" t="str">
        <f aca="false">IF(ISERROR(VLOOKUP($A39,'liste reference'!$A$6:$B$1174,2,0)),IF(ISERROR(VLOOKUP($A39,'liste reference'!$B$6:$B$1174,1,0)),"",VLOOKUP($A39,'liste reference'!$B$6:$B$1174,1,0)),VLOOKUP($A39,'liste reference'!$A$6:$B$1174,2,0))</f>
        <v>Fontinalis antipyretica</v>
      </c>
      <c r="E39" s="522" t="e">
        <f aca="false">IF(D39="",0,VLOOKUP(D39,D$22:D38,1,0))</f>
        <v>#N/A</v>
      </c>
      <c r="F39" s="523" t="n">
        <f aca="false">IF(AND(OR(A39="",A39="!!!!!!"),B39="",C39=""),"",IF(OR(AND(B39="",C39=""),ISERROR(C39+B39)),"!!!",($B39*$B$7+$C39*$C$7)/100))</f>
        <v>1.326</v>
      </c>
      <c r="G39" s="524" t="str">
        <f aca="false">IF(A39="","",IF(ISERROR(VLOOKUP($A39,'liste reference'!$A$6:$Q$1174,9,0)),IF(ISERROR(VLOOKUP($A39,'liste reference'!$B$6:$Q$1174,8,0)),"    -",VLOOKUP($A39,'liste reference'!$B$6:$Q$1174,8,0)),VLOOKUP($A39,'liste reference'!$A$6:$Q$1174,9,0)))</f>
        <v>BRm</v>
      </c>
      <c r="H39" s="525" t="n">
        <f aca="false">IF(A39="","x",IF(ISERROR(VLOOKUP($A39,'liste reference'!$A$6:$Q$1174,10,0)),IF(ISERROR(VLOOKUP($A39,'liste reference'!$B$6:$Q$1174,9,0)),"x",VLOOKUP($A39,'liste reference'!$B$6:$Q$1174,9,0)),VLOOKUP($A39,'liste reference'!$A$6:$Q$1174,10,0)))</f>
        <v>5</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Fontinalis antipyretica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1310</v>
      </c>
      <c r="R39" s="513" t="n">
        <f aca="false">IF(ISTEXT(H39),"",(B39*$B$7/100)+(C39*$C$7/100))</f>
        <v>1.326</v>
      </c>
      <c r="S39" s="514" t="n">
        <f aca="false">IF(OR(ISTEXT(H39),R39=0),"",IF(R39&lt;0.1,1,IF(R39&lt;1,2,IF(R39&lt;10,3,IF(R39&lt;50,4,IF(R39&gt;=50,5,""))))))</f>
        <v>3</v>
      </c>
      <c r="T39" s="514" t="n">
        <f aca="false">IF(ISERROR(S39*J39),0,S39*J39)</f>
        <v>30</v>
      </c>
      <c r="U39" s="514" t="n">
        <f aca="false">IF(ISERROR(S39*J39*K39),0,S39*J39*K39)</f>
        <v>30</v>
      </c>
      <c r="V39" s="530" t="n">
        <f aca="false">IF(ISERROR(S39*K39),0,S39*K39)</f>
        <v>3</v>
      </c>
      <c r="W39" s="531"/>
      <c r="X39" s="532"/>
      <c r="Y39" s="517" t="str">
        <f aca="false">IF(AND(ISNUMBER(F39),OR(A39="",A39="!!!!!!")),"!!!!!!",IF(A39="new.cod","NEWCOD",IF(AND((Z39=""),ISTEXT(A39),A39&lt;&gt;"!!!!!!"),A39,IF(Z39="","",INDEX('liste reference'!$A$6:$A$1174,Z39)))))</f>
        <v>FONANT</v>
      </c>
      <c r="Z39" s="499" t="n">
        <f aca="false">IF(ISERROR(MATCH(A39,'liste reference'!$A$6:$A$1174,0)),IF(ISERROR(MATCH(A39,'liste reference'!$B$6:$B$1174,0)),"",(MATCH(A39,'liste reference'!$B$6:$B$1174,0))),(MATCH(A39,'liste reference'!$A$6:$A$1174,0)))</f>
        <v>273</v>
      </c>
    </row>
    <row r="40" customFormat="false" ht="12.75" hidden="false" customHeight="false" outlineLevel="0" collapsed="false">
      <c r="A40" s="518" t="s">
        <v>973</v>
      </c>
      <c r="B40" s="519" t="n">
        <v>0.005</v>
      </c>
      <c r="C40" s="520"/>
      <c r="D40" s="521" t="str">
        <f aca="false">IF(ISERROR(VLOOKUP($A40,'liste reference'!$A$6:$B$1174,2,0)),IF(ISERROR(VLOOKUP($A40,'liste reference'!$B$6:$B$1174,1,0)),"",VLOOKUP($A40,'liste reference'!$B$6:$B$1174,1,0)),VLOOKUP($A40,'liste reference'!$A$6:$B$1174,2,0))</f>
        <v>Leptodictyum riparium </v>
      </c>
      <c r="E40" s="522" t="e">
        <f aca="false">IF(D40="",0,VLOOKUP(D40,D$22:D39,1,0))</f>
        <v>#N/A</v>
      </c>
      <c r="F40" s="523" t="n">
        <f aca="false">IF(AND(OR(A40="",A40="!!!!!!"),B40="",C40=""),"",IF(OR(AND(B40="",C40=""),ISERROR(C40+B40)),"!!!",($B40*$B$7+$C40*$C$7)/100))</f>
        <v>0.0006</v>
      </c>
      <c r="G40" s="524" t="str">
        <f aca="false">IF(A40="","",IF(ISERROR(VLOOKUP($A40,'liste reference'!$A$6:$Q$1174,9,0)),IF(ISERROR(VLOOKUP($A40,'liste reference'!$B$6:$Q$1174,8,0)),"    -",VLOOKUP($A40,'liste reference'!$B$6:$Q$1174,8,0)),VLOOKUP($A40,'liste reference'!$A$6:$Q$1174,9,0)))</f>
        <v>BRm</v>
      </c>
      <c r="H40" s="525" t="n">
        <f aca="false">IF(A40="","x",IF(ISERROR(VLOOKUP($A40,'liste reference'!$A$6:$Q$1174,10,0)),IF(ISERROR(VLOOKUP($A40,'liste reference'!$B$6:$Q$1174,9,0)),"x",VLOOKUP($A40,'liste reference'!$B$6:$Q$1174,9,0)),VLOOKUP($A40,'liste reference'!$A$6:$Q$1174,10,0)))</f>
        <v>5</v>
      </c>
      <c r="I40" s="309" t="n">
        <f aca="false">IF(A40="","",1)</f>
        <v>1</v>
      </c>
      <c r="J40" s="526" t="n">
        <f aca="false">IF(ISNUMBER($H40),IF(ISERROR(VLOOKUP($A40,'liste reference'!$A$6:$Q$1174,6,0)),IF(ISERROR(VLOOKUP($A40,'liste reference'!$B$6:$Q$1174,5,0)),"nu",VLOOKUP($A40,'liste reference'!$B$6:$Q$1174,5,0)),VLOOKUP($A40,'liste reference'!$A$6:$Q$1174,6,0)),"nu")</f>
        <v>5</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Leptodictyum riparium </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1244</v>
      </c>
      <c r="R40" s="513" t="n">
        <f aca="false">IF(ISTEXT(H40),"",(B40*$B$7/100)+(C40*$C$7/100))</f>
        <v>0.0006</v>
      </c>
      <c r="S40" s="514" t="n">
        <f aca="false">IF(OR(ISTEXT(H40),R40=0),"",IF(R40&lt;0.1,1,IF(R40&lt;1,2,IF(R40&lt;10,3,IF(R40&lt;50,4,IF(R40&gt;=50,5,""))))))</f>
        <v>1</v>
      </c>
      <c r="T40" s="514" t="n">
        <f aca="false">IF(ISERROR(S40*J40),0,S40*J40)</f>
        <v>5</v>
      </c>
      <c r="U40" s="514" t="n">
        <f aca="false">IF(ISERROR(S40*J40*K40),0,S40*J40*K40)</f>
        <v>10</v>
      </c>
      <c r="V40" s="530" t="n">
        <f aca="false">IF(ISERROR(S40*K40),0,S40*K40)</f>
        <v>2</v>
      </c>
      <c r="W40" s="531"/>
      <c r="X40" s="532"/>
      <c r="Y40" s="517" t="str">
        <f aca="false">IF(AND(ISNUMBER(F40),OR(A40="",A40="!!!!!!")),"!!!!!!",IF(A40="new.cod","NEWCOD",IF(AND((Z40=""),ISTEXT(A40),A40&lt;&gt;"!!!!!!"),A40,IF(Z40="","",INDEX('liste reference'!$A$6:$A$1174,Z40)))))</f>
        <v>LEORIP</v>
      </c>
      <c r="Z40" s="499" t="n">
        <f aca="false">IF(ISERROR(MATCH(A40,'liste reference'!$A$6:$A$1174,0)),IF(ISERROR(MATCH(A40,'liste reference'!$B$6:$B$1174,0)),"",(MATCH(A40,'liste reference'!$B$6:$B$1174,0))),(MATCH(A40,'liste reference'!$A$6:$A$1174,0)))</f>
        <v>298</v>
      </c>
    </row>
    <row r="41" customFormat="false" ht="12.75" hidden="false" customHeight="false" outlineLevel="0" collapsed="false">
      <c r="A41" s="518" t="s">
        <v>1003</v>
      </c>
      <c r="B41" s="519"/>
      <c r="C41" s="520" t="n">
        <v>0.001</v>
      </c>
      <c r="D41" s="521" t="str">
        <f aca="false">IF(ISERROR(VLOOKUP($A41,'liste reference'!$A$6:$B$1174,2,0)),IF(ISERROR(VLOOKUP($A41,'liste reference'!$B$6:$B$1174,1,0)),"",VLOOKUP($A41,'liste reference'!$B$6:$B$1174,1,0)),VLOOKUP($A41,'liste reference'!$A$6:$B$1174,2,0))</f>
        <v>Oxyrrhynchium speciosum </v>
      </c>
      <c r="E41" s="522" t="e">
        <f aca="false">IF(D41="",0,VLOOKUP(D41,D$22:D40,1,0))</f>
        <v>#N/A</v>
      </c>
      <c r="F41" s="523" t="n">
        <f aca="false">IF(AND(OR(A41="",A41="!!!!!!"),B41="",C41=""),"",IF(OR(AND(B41="",C41=""),ISERROR(C41+B41)),"!!!",($B41*$B$7+$C41*$C$7)/100))</f>
        <v>0.00088</v>
      </c>
      <c r="G41" s="524" t="str">
        <f aca="false">IF(A41="","",IF(ISERROR(VLOOKUP($A41,'liste reference'!$A$6:$Q$1174,9,0)),IF(ISERROR(VLOOKUP($A41,'liste reference'!$B$6:$Q$1174,8,0)),"    -",VLOOKUP($A41,'liste reference'!$B$6:$Q$1174,8,0)),VLOOKUP($A41,'liste reference'!$A$6:$Q$1174,9,0)))</f>
        <v>BRm</v>
      </c>
      <c r="H41" s="525" t="n">
        <f aca="false">IF(A41="","x",IF(ISERROR(VLOOKUP($A41,'liste reference'!$A$6:$Q$1174,10,0)),IF(ISERROR(VLOOKUP($A41,'liste reference'!$B$6:$Q$1174,9,0)),"x",VLOOKUP($A41,'liste reference'!$B$6:$Q$1174,9,0)),VLOOKUP($A41,'liste reference'!$A$6:$Q$1174,10,0)))</f>
        <v>5</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Oxyrrhynchium speciosum </v>
      </c>
      <c r="M41" s="527"/>
      <c r="N41" s="527"/>
      <c r="O41" s="527"/>
      <c r="P41" s="528" t="s">
        <v>3464</v>
      </c>
      <c r="Q41" s="529" t="n">
        <f aca="false">IF(OR($A41="NEWCOD",$A41="!!!!!!"),IF(X41="","NoCod",X41),IF($A41="","",IF(ISERROR(VLOOKUP($A41,'liste reference'!$A$6:$H$1174,8,FALSE())),IF(ISERROR(VLOOKUP($A41,'liste reference'!$B$6:$H$1174,7,FALSE())),"",VLOOKUP($A41,'liste reference'!$B$6:$H$1174,7,FALSE())),VLOOKUP($A41,'liste reference'!$A$6:$H$1174,8,FALSE()))))</f>
        <v>30099</v>
      </c>
      <c r="R41" s="513" t="n">
        <f aca="false">IF(ISTEXT(H41),"",(B41*$B$7/100)+(C41*$C$7/100))</f>
        <v>0.00088</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OXYSPE</v>
      </c>
      <c r="Z41" s="499" t="n">
        <f aca="false">IF(ISERROR(MATCH(A41,'liste reference'!$A$6:$A$1174,0)),IF(ISERROR(MATCH(A41,'liste reference'!$B$6:$B$1174,0)),"",(MATCH(A41,'liste reference'!$B$6:$B$1174,0))),(MATCH(A41,'liste reference'!$A$6:$A$1174,0)))</f>
        <v>308</v>
      </c>
    </row>
    <row r="42" customFormat="false" ht="12.75" hidden="false" customHeight="false" outlineLevel="0" collapsed="false">
      <c r="A42" s="518" t="s">
        <v>1121</v>
      </c>
      <c r="B42" s="519" t="n">
        <v>1</v>
      </c>
      <c r="C42" s="520"/>
      <c r="D42" s="521" t="str">
        <f aca="false">IF(ISERROR(VLOOKUP($A42,'liste reference'!$A$6:$B$1174,2,0)),IF(ISERROR(VLOOKUP($A42,'liste reference'!$B$6:$B$1174,1,0)),"",VLOOKUP($A42,'liste reference'!$B$6:$B$1174,1,0)),VLOOKUP($A42,'liste reference'!$A$6:$B$1174,2,0))</f>
        <v>Rhynchostegium riparioides</v>
      </c>
      <c r="E42" s="522" t="e">
        <f aca="false">IF(D42="",0,VLOOKUP(D42,D$22:D41,1,0))</f>
        <v>#N/A</v>
      </c>
      <c r="F42" s="523" t="n">
        <f aca="false">IF(AND(OR(A42="",A42="!!!!!!"),B42="",C42=""),"",IF(OR(AND(B42="",C42=""),ISERROR(C42+B42)),"!!!",($B42*$B$7+$C42*$C$7)/100))</f>
        <v>0.12</v>
      </c>
      <c r="G42" s="524" t="str">
        <f aca="false">IF(A42="","",IF(ISERROR(VLOOKUP($A42,'liste reference'!$A$6:$Q$1174,9,0)),IF(ISERROR(VLOOKUP($A42,'liste reference'!$B$6:$Q$1174,8,0)),"    -",VLOOKUP($A42,'liste reference'!$B$6:$Q$1174,8,0)),VLOOKUP($A42,'liste reference'!$A$6:$Q$1174,9,0)))</f>
        <v>BRm</v>
      </c>
      <c r="H42" s="525" t="n">
        <f aca="false">IF(A42="","x",IF(ISERROR(VLOOKUP($A42,'liste reference'!$A$6:$Q$1174,10,0)),IF(ISERROR(VLOOKUP($A42,'liste reference'!$B$6:$Q$1174,9,0)),"x",VLOOKUP($A42,'liste reference'!$B$6:$Q$1174,9,0)),VLOOKUP($A42,'liste reference'!$A$6:$Q$1174,10,0)))</f>
        <v>5</v>
      </c>
      <c r="I42" s="309" t="n">
        <f aca="false">IF(A42="","",1)</f>
        <v>1</v>
      </c>
      <c r="J42" s="526" t="n">
        <f aca="false">IF(ISNUMBER($H42),IF(ISERROR(VLOOKUP($A42,'liste reference'!$A$6:$Q$1174,6,0)),IF(ISERROR(VLOOKUP($A42,'liste reference'!$B$6:$Q$1174,5,0)),"nu",VLOOKUP($A42,'liste reference'!$B$6:$Q$1174,5,0)),VLOOKUP($A42,'liste reference'!$A$6:$Q$1174,6,0)),"nu")</f>
        <v>12</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Rhynchostegium riparioides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31691</v>
      </c>
      <c r="R42" s="513" t="n">
        <f aca="false">IF(ISTEXT(H42),"",(B42*$B$7/100)+(C42*$C$7/100))</f>
        <v>0.12</v>
      </c>
      <c r="S42" s="514" t="n">
        <f aca="false">IF(OR(ISTEXT(H42),R42=0),"",IF(R42&lt;0.1,1,IF(R42&lt;1,2,IF(R42&lt;10,3,IF(R42&lt;50,4,IF(R42&gt;=50,5,""))))))</f>
        <v>2</v>
      </c>
      <c r="T42" s="514" t="n">
        <f aca="false">IF(ISERROR(S42*J42),0,S42*J42)</f>
        <v>24</v>
      </c>
      <c r="U42" s="514" t="n">
        <f aca="false">IF(ISERROR(S42*J42*K42),0,S42*J42*K42)</f>
        <v>24</v>
      </c>
      <c r="V42" s="530" t="n">
        <f aca="false">IF(ISERROR(S42*K42),0,S42*K42)</f>
        <v>2</v>
      </c>
      <c r="W42" s="531"/>
      <c r="X42" s="532"/>
      <c r="Y42" s="517" t="str">
        <f aca="false">IF(AND(ISNUMBER(F42),OR(A42="",A42="!!!!!!")),"!!!!!!",IF(A42="new.cod","NEWCOD",IF(AND((Z42=""),ISTEXT(A42),A42&lt;&gt;"!!!!!!"),A42,IF(Z42="","",INDEX('liste reference'!$A$6:$A$1174,Z42)))))</f>
        <v>RHYRIP</v>
      </c>
      <c r="Z42" s="499" t="n">
        <f aca="false">IF(ISERROR(MATCH(A42,'liste reference'!$A$6:$A$1174,0)),IF(ISERROR(MATCH(A42,'liste reference'!$B$6:$B$1174,0)),"",(MATCH(A42,'liste reference'!$B$6:$B$1174,0))),(MATCH(A42,'liste reference'!$A$6:$A$1174,0)))</f>
        <v>345</v>
      </c>
    </row>
    <row r="43" customFormat="false" ht="12.75" hidden="false" customHeight="false" outlineLevel="0" collapsed="false">
      <c r="A43" s="518" t="s">
        <v>1276</v>
      </c>
      <c r="B43" s="519"/>
      <c r="C43" s="520" t="n">
        <v>0.005</v>
      </c>
      <c r="D43" s="521" t="str">
        <f aca="false">IF(ISERROR(VLOOKUP($A43,'liste reference'!$A$6:$B$1174,2,0)),IF(ISERROR(VLOOKUP($A43,'liste reference'!$B$6:$B$1174,1,0)),"",VLOOKUP($A43,'liste reference'!$B$6:$B$1174,1,0)),VLOOKUP($A43,'liste reference'!$A$6:$B$1174,2,0))</f>
        <v>Equisetum telmateia</v>
      </c>
      <c r="E43" s="522" t="e">
        <f aca="false">IF(D43="",0,VLOOKUP(D43,D$22:D42,1,0))</f>
        <v>#N/A</v>
      </c>
      <c r="F43" s="523" t="n">
        <f aca="false">IF(AND(OR(A43="",A43="!!!!!!"),B43="",C43=""),"",IF(OR(AND(B43="",C43=""),ISERROR(C43+B43)),"!!!",($B43*$B$7+$C43*$C$7)/100))</f>
        <v>0.0044</v>
      </c>
      <c r="G43" s="524" t="str">
        <f aca="false">IF(A43="","",IF(ISERROR(VLOOKUP($A43,'liste reference'!$A$6:$Q$1174,9,0)),IF(ISERROR(VLOOKUP($A43,'liste reference'!$B$6:$Q$1174,8,0)),"    -",VLOOKUP($A43,'liste reference'!$B$6:$Q$1174,8,0)),VLOOKUP($A43,'liste reference'!$A$6:$Q$1174,9,0)))</f>
        <v>PTE</v>
      </c>
      <c r="H43" s="525" t="n">
        <f aca="false">IF(A43="","x",IF(ISERROR(VLOOKUP($A43,'liste reference'!$A$6:$Q$1174,10,0)),IF(ISERROR(VLOOKUP($A43,'liste reference'!$B$6:$Q$1174,9,0)),"x",VLOOKUP($A43,'liste reference'!$B$6:$Q$1174,9,0)),VLOOKUP($A43,'liste reference'!$A$6:$Q$1174,10,0)))</f>
        <v>6</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Equisetum telmateia</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29958</v>
      </c>
      <c r="R43" s="513" t="n">
        <f aca="false">IF(ISTEXT(H43),"",(B43*$B$7/100)+(C43*$C$7/100))</f>
        <v>0.0044</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EQUTEL</v>
      </c>
      <c r="Z43" s="499" t="n">
        <f aca="false">IF(ISERROR(MATCH(A43,'liste reference'!$A$6:$A$1174,0)),IF(ISERROR(MATCH(A43,'liste reference'!$B$6:$B$1174,0)),"",(MATCH(A43,'liste reference'!$B$6:$B$1174,0))),(MATCH(A43,'liste reference'!$A$6:$A$1174,0)))</f>
        <v>393</v>
      </c>
    </row>
    <row r="44" customFormat="false" ht="12.75" hidden="false" customHeight="false" outlineLevel="0" collapsed="false">
      <c r="A44" s="518" t="s">
        <v>1413</v>
      </c>
      <c r="B44" s="519" t="n">
        <v>0.05</v>
      </c>
      <c r="C44" s="520" t="n">
        <v>0.01</v>
      </c>
      <c r="D44" s="521" t="str">
        <f aca="false">IF(ISERROR(VLOOKUP($A44,'liste reference'!$A$6:$B$1174,2,0)),IF(ISERROR(VLOOKUP($A44,'liste reference'!$B$6:$B$1174,1,0)),"",VLOOKUP($A44,'liste reference'!$B$6:$B$1174,1,0)),VLOOKUP($A44,'liste reference'!$A$6:$B$1174,2,0))</f>
        <v>Callitriche sp.</v>
      </c>
      <c r="E44" s="522" t="e">
        <f aca="false">IF(D44="",0,VLOOKUP(D44,D$22:D43,1,0))</f>
        <v>#N/A</v>
      </c>
      <c r="F44" s="523" t="n">
        <f aca="false">IF(AND(OR(A44="",A44="!!!!!!"),B44="",C44=""),"",IF(OR(AND(B44="",C44=""),ISERROR(C44+B44)),"!!!",($B44*$B$7+$C44*$C$7)/100))</f>
        <v>0.0148</v>
      </c>
      <c r="G44" s="524" t="str">
        <f aca="false">IF(A44="","",IF(ISERROR(VLOOKUP($A44,'liste reference'!$A$6:$Q$1174,9,0)),IF(ISERROR(VLOOKUP($A44,'liste reference'!$B$6:$Q$1174,8,0)),"    -",VLOOKUP($A44,'liste reference'!$B$6:$Q$1174,8,0)),VLOOKUP($A44,'liste reference'!$A$6:$Q$1174,9,0)))</f>
        <v>PHy</v>
      </c>
      <c r="H44" s="525" t="n">
        <f aca="false">IF(A44="","x",IF(ISERROR(VLOOKUP($A44,'liste reference'!$A$6:$Q$1174,10,0)),IF(ISERROR(VLOOKUP($A44,'liste reference'!$B$6:$Q$1174,9,0)),"x",VLOOKUP($A44,'liste reference'!$B$6:$Q$1174,9,0)),VLOOKUP($A44,'liste reference'!$A$6:$Q$1174,10,0)))</f>
        <v>7</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Callitriche sp.</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1696</v>
      </c>
      <c r="R44" s="513" t="n">
        <f aca="false">IF(ISTEXT(H44),"",(B44*$B$7/100)+(C44*$C$7/100))</f>
        <v>0.0148</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CALSPX</v>
      </c>
      <c r="Z44" s="499" t="n">
        <f aca="false">IF(ISERROR(MATCH(A44,'liste reference'!$A$6:$A$1174,0)),IF(ISERROR(MATCH(A44,'liste reference'!$B$6:$B$1174,0)),"",(MATCH(A44,'liste reference'!$B$6:$B$1174,0))),(MATCH(A44,'liste reference'!$A$6:$A$1174,0)))</f>
        <v>441</v>
      </c>
    </row>
    <row r="45" customFormat="false" ht="12.75" hidden="false" customHeight="false" outlineLevel="0" collapsed="false">
      <c r="A45" s="518" t="s">
        <v>1482</v>
      </c>
      <c r="B45" s="519" t="n">
        <v>0.02</v>
      </c>
      <c r="C45" s="520" t="n">
        <v>0.005</v>
      </c>
      <c r="D45" s="521" t="str">
        <f aca="false">IF(ISERROR(VLOOKUP($A45,'liste reference'!$A$6:$B$1174,2,0)),IF(ISERROR(VLOOKUP($A45,'liste reference'!$B$6:$B$1174,1,0)),"",VLOOKUP($A45,'liste reference'!$B$6:$B$1174,1,0)),VLOOKUP($A45,'liste reference'!$A$6:$B$1174,2,0))</f>
        <v>Helosciadium nodiflorum </v>
      </c>
      <c r="E45" s="522" t="e">
        <f aca="false">IF(D45="",0,VLOOKUP(D45,D$22:D44,1,0))</f>
        <v>#N/A</v>
      </c>
      <c r="F45" s="523" t="n">
        <f aca="false">IF(AND(OR(A45="",A45="!!!!!!"),B45="",C45=""),"",IF(OR(AND(B45="",C45=""),ISERROR(C45+B45)),"!!!",($B45*$B$7+$C45*$C$7)/100))</f>
        <v>0.0068</v>
      </c>
      <c r="G45" s="524" t="str">
        <f aca="false">IF(A45="","",IF(ISERROR(VLOOKUP($A45,'liste reference'!$A$6:$Q$1174,9,0)),IF(ISERROR(VLOOKUP($A45,'liste reference'!$B$6:$Q$1174,8,0)),"    -",VLOOKUP($A45,'liste reference'!$B$6:$Q$1174,8,0)),VLOOKUP($A45,'liste reference'!$A$6:$Q$1174,9,0)))</f>
        <v>PHy</v>
      </c>
      <c r="H45" s="525" t="n">
        <f aca="false">IF(A45="","x",IF(ISERROR(VLOOKUP($A45,'liste reference'!$A$6:$Q$1174,10,0)),IF(ISERROR(VLOOKUP($A45,'liste reference'!$B$6:$Q$1174,9,0)),"x",VLOOKUP($A45,'liste reference'!$B$6:$Q$1174,9,0)),VLOOKUP($A45,'liste reference'!$A$6:$Q$1174,10,0)))</f>
        <v>7</v>
      </c>
      <c r="I45" s="309" t="n">
        <f aca="false">IF(A45="","",1)</f>
        <v>1</v>
      </c>
      <c r="J45" s="526" t="n">
        <f aca="false">IF(ISNUMBER($H45),IF(ISERROR(VLOOKUP($A45,'liste reference'!$A$6:$Q$1174,6,0)),IF(ISERROR(VLOOKUP($A45,'liste reference'!$B$6:$Q$1174,5,0)),"nu",VLOOKUP($A45,'liste reference'!$B$6:$Q$1174,5,0)),VLOOKUP($A45,'liste reference'!$A$6:$Q$1174,6,0)),"nu")</f>
        <v>10</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Helosciadium nodiflorum </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30053</v>
      </c>
      <c r="R45" s="513" t="n">
        <f aca="false">IF(ISTEXT(H45),"",(B45*$B$7/100)+(C45*$C$7/100))</f>
        <v>0.0068</v>
      </c>
      <c r="S45" s="514" t="n">
        <f aca="false">IF(OR(ISTEXT(H45),R45=0),"",IF(R45&lt;0.1,1,IF(R45&lt;1,2,IF(R45&lt;10,3,IF(R45&lt;50,4,IF(R45&gt;=50,5,""))))))</f>
        <v>1</v>
      </c>
      <c r="T45" s="514" t="n">
        <f aca="false">IF(ISERROR(S45*J45),0,S45*J45)</f>
        <v>10</v>
      </c>
      <c r="U45" s="514" t="n">
        <f aca="false">IF(ISERROR(S45*J45*K45),0,S45*J45*K45)</f>
        <v>10</v>
      </c>
      <c r="V45" s="530" t="n">
        <f aca="false">IF(ISERROR(S45*K45),0,S45*K45)</f>
        <v>1</v>
      </c>
      <c r="W45" s="531"/>
      <c r="X45" s="532"/>
      <c r="Y45" s="517" t="str">
        <f aca="false">IF(AND(ISNUMBER(F45),OR(A45="",A45="!!!!!!")),"!!!!!!",IF(A45="new.cod","NEWCOD",IF(AND((Z45=""),ISTEXT(A45),A45&lt;&gt;"!!!!!!"),A45,IF(Z45="","",INDEX('liste reference'!$A$6:$A$1174,Z45)))))</f>
        <v>HELNOD</v>
      </c>
      <c r="Z45" s="499" t="n">
        <f aca="false">IF(ISERROR(MATCH(A45,'liste reference'!$A$6:$A$1174,0)),IF(ISERROR(MATCH(A45,'liste reference'!$B$6:$B$1174,0)),"",(MATCH(A45,'liste reference'!$B$6:$B$1174,0))),(MATCH(A45,'liste reference'!$A$6:$A$1174,0)))</f>
        <v>460</v>
      </c>
    </row>
    <row r="46" customFormat="false" ht="12.75" hidden="false" customHeight="false" outlineLevel="0" collapsed="false">
      <c r="A46" s="518" t="s">
        <v>1523</v>
      </c>
      <c r="B46" s="519" t="n">
        <v>0.01</v>
      </c>
      <c r="C46" s="520" t="n">
        <v>0.02</v>
      </c>
      <c r="D46" s="521" t="str">
        <f aca="false">IF(ISERROR(VLOOKUP($A46,'liste reference'!$A$6:$B$1174,2,0)),IF(ISERROR(VLOOKUP($A46,'liste reference'!$B$6:$B$1174,1,0)),"",VLOOKUP($A46,'liste reference'!$B$6:$B$1174,1,0)),VLOOKUP($A46,'liste reference'!$A$6:$B$1174,2,0))</f>
        <v>Lemna minuta</v>
      </c>
      <c r="E46" s="522" t="e">
        <f aca="false">IF(D46="",0,VLOOKUP(D46,D$22:D45,1,0))</f>
        <v>#N/A</v>
      </c>
      <c r="F46" s="523" t="n">
        <f aca="false">IF(AND(OR(A46="",A46="!!!!!!"),B46="",C46=""),"",IF(OR(AND(B46="",C46=""),ISERROR(C46+B46)),"!!!",($B46*$B$7+$C46*$C$7)/100))</f>
        <v>0.0188</v>
      </c>
      <c r="G46" s="524" t="str">
        <f aca="false">IF(A46="","",IF(ISERROR(VLOOKUP($A46,'liste reference'!$A$6:$Q$1174,9,0)),IF(ISERROR(VLOOKUP($A46,'liste reference'!$B$6:$Q$1174,8,0)),"    -",VLOOKUP($A46,'liste reference'!$B$6:$Q$1174,8,0)),VLOOKUP($A46,'liste reference'!$A$6:$Q$1174,9,0)))</f>
        <v>PHy</v>
      </c>
      <c r="H46" s="525" t="n">
        <f aca="false">IF(A46="","x",IF(ISERROR(VLOOKUP($A46,'liste reference'!$A$6:$Q$1174,10,0)),IF(ISERROR(VLOOKUP($A46,'liste reference'!$B$6:$Q$1174,9,0)),"x",VLOOKUP($A46,'liste reference'!$B$6:$Q$1174,9,0)),VLOOKUP($A46,'liste reference'!$A$6:$Q$1174,10,0)))</f>
        <v>7</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Lemna minuta</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29962</v>
      </c>
      <c r="R46" s="513" t="n">
        <f aca="false">IF(ISTEXT(H46),"",(B46*$B$7/100)+(C46*$C$7/100))</f>
        <v>0.0188</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LEMMIT</v>
      </c>
      <c r="Z46" s="499" t="n">
        <f aca="false">IF(ISERROR(MATCH(A46,'liste reference'!$A$6:$A$1174,0)),IF(ISERROR(MATCH(A46,'liste reference'!$B$6:$B$1174,0)),"",(MATCH(A46,'liste reference'!$B$6:$B$1174,0))),(MATCH(A46,'liste reference'!$A$6:$A$1174,0)))</f>
        <v>474</v>
      </c>
    </row>
    <row r="47" customFormat="false" ht="12.75" hidden="false" customHeight="false" outlineLevel="0" collapsed="false">
      <c r="A47" s="518" t="s">
        <v>1931</v>
      </c>
      <c r="B47" s="519" t="n">
        <v>0.1</v>
      </c>
      <c r="C47" s="520" t="n">
        <v>0.1</v>
      </c>
      <c r="D47" s="521" t="str">
        <f aca="false">IF(ISERROR(VLOOKUP($A47,'liste reference'!$A$6:$B$1174,2,0)),IF(ISERROR(VLOOKUP($A47,'liste reference'!$B$6:$B$1174,1,0)),"",VLOOKUP($A47,'liste reference'!$B$6:$B$1174,1,0)),VLOOKUP($A47,'liste reference'!$A$6:$B$1174,2,0))</f>
        <v>Agrostis stolonifera</v>
      </c>
      <c r="E47" s="522" t="e">
        <f aca="false">IF(D47="",0,VLOOKUP(D47,D$22:D46,1,0))</f>
        <v>#N/A</v>
      </c>
      <c r="F47" s="523" t="n">
        <f aca="false">IF(AND(OR(A47="",A47="!!!!!!"),B47="",C47=""),"",IF(OR(AND(B47="",C47=""),ISERROR(C47+B47)),"!!!",($B47*$B$7+$C47*$C$7)/100))</f>
        <v>0.1</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n">
        <f aca="false">IF(ISNUMBER($H47),IF(ISERROR(VLOOKUP($A47,'liste reference'!$A$6:$Q$1174,6,0)),IF(ISERROR(VLOOKUP($A47,'liste reference'!$B$6:$Q$1174,5,0)),"nu",VLOOKUP($A47,'liste reference'!$B$6:$Q$1174,5,0)),VLOOKUP($A47,'liste reference'!$A$6:$Q$1174,6,0)),"nu")</f>
        <v>10</v>
      </c>
      <c r="K47" s="526" t="n">
        <f aca="false">IF(ISNUMBER($H47),IF(ISERROR(VLOOKUP($A47,'liste reference'!$A$6:$Q$1174,7,0)),IF(ISERROR(VLOOKUP($A47,'liste reference'!$B$6:$Q$1174,6,0)),"nu",VLOOKUP($A47,'liste reference'!$B$6:$Q$1174,6,0)),VLOOKUP($A47,'liste reference'!$A$6:$Q$1174,7,0)),"nu")</f>
        <v>1</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Agrostis stolonifera</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1543</v>
      </c>
      <c r="R47" s="513" t="n">
        <f aca="false">IF(ISTEXT(H47),"",(B47*$B$7/100)+(C47*$C$7/100))</f>
        <v>0.1</v>
      </c>
      <c r="S47" s="514" t="n">
        <f aca="false">IF(OR(ISTEXT(H47),R47=0),"",IF(R47&lt;0.1,1,IF(R47&lt;1,2,IF(R47&lt;10,3,IF(R47&lt;50,4,IF(R47&gt;=50,5,""))))))</f>
        <v>2</v>
      </c>
      <c r="T47" s="514" t="n">
        <f aca="false">IF(ISERROR(S47*J47),0,S47*J47)</f>
        <v>20</v>
      </c>
      <c r="U47" s="514" t="n">
        <f aca="false">IF(ISERROR(S47*J47*K47),0,S47*J47*K47)</f>
        <v>20</v>
      </c>
      <c r="V47" s="530" t="n">
        <f aca="false">IF(ISERROR(S47*K47),0,S47*K47)</f>
        <v>2</v>
      </c>
      <c r="W47" s="531"/>
      <c r="X47" s="532"/>
      <c r="Y47" s="517" t="str">
        <f aca="false">IF(AND(ISNUMBER(F47),OR(A47="",A47="!!!!!!")),"!!!!!!",IF(A47="new.cod","NEWCOD",IF(AND((Z47=""),ISTEXT(A47),A47&lt;&gt;"!!!!!!"),A47,IF(Z47="","",INDEX('liste reference'!$A$6:$A$1174,Z47)))))</f>
        <v>AGRSTO</v>
      </c>
      <c r="Z47" s="499" t="n">
        <f aca="false">IF(ISERROR(MATCH(A47,'liste reference'!$A$6:$A$1174,0)),IF(ISERROR(MATCH(A47,'liste reference'!$B$6:$B$1174,0)),"",(MATCH(A47,'liste reference'!$B$6:$B$1174,0))),(MATCH(A47,'liste reference'!$A$6:$A$1174,0)))</f>
        <v>623</v>
      </c>
    </row>
    <row r="48" customFormat="false" ht="12.75" hidden="false" customHeight="false" outlineLevel="0" collapsed="false">
      <c r="A48" s="518" t="s">
        <v>1935</v>
      </c>
      <c r="B48" s="519"/>
      <c r="C48" s="520" t="n">
        <v>0.02</v>
      </c>
      <c r="D48" s="521" t="str">
        <f aca="false">IF(ISERROR(VLOOKUP($A48,'liste reference'!$A$6:$B$1174,2,0)),IF(ISERROR(VLOOKUP($A48,'liste reference'!$B$6:$B$1174,1,0)),"",VLOOKUP($A48,'liste reference'!$B$6:$B$1174,1,0)),VLOOKUP($A48,'liste reference'!$A$6:$B$1174,2,0))</f>
        <v>Berula erecta</v>
      </c>
      <c r="E48" s="522" t="e">
        <f aca="false">IF(D48="",0,VLOOKUP(D48,D$22:D47,1,0))</f>
        <v>#N/A</v>
      </c>
      <c r="F48" s="523" t="n">
        <f aca="false">IF(AND(OR(A48="",A48="!!!!!!"),B48="",C48=""),"",IF(OR(AND(B48="",C48=""),ISERROR(C48+B48)),"!!!",($B48*$B$7+$C48*$C$7)/100))</f>
        <v>0.0176</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n">
        <f aca="false">IF(ISNUMBER($H48),IF(ISERROR(VLOOKUP($A48,'liste reference'!$A$6:$Q$1174,6,0)),IF(ISERROR(VLOOKUP($A48,'liste reference'!$B$6:$Q$1174,5,0)),"nu",VLOOKUP($A48,'liste reference'!$B$6:$Q$1174,5,0)),VLOOKUP($A48,'liste reference'!$A$6:$Q$1174,6,0)),"nu")</f>
        <v>14</v>
      </c>
      <c r="K48" s="526" t="n">
        <f aca="false">IF(ISNUMBER($H48),IF(ISERROR(VLOOKUP($A48,'liste reference'!$A$6:$Q$1174,7,0)),IF(ISERROR(VLOOKUP($A48,'liste reference'!$B$6:$Q$1174,6,0)),"nu",VLOOKUP($A48,'liste reference'!$B$6:$Q$1174,6,0)),VLOOKUP($A48,'liste reference'!$A$6:$Q$1174,7,0)),"nu")</f>
        <v>2</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Berula erecta</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1977</v>
      </c>
      <c r="R48" s="513" t="n">
        <f aca="false">IF(ISTEXT(H48),"",(B48*$B$7/100)+(C48*$C$7/100))</f>
        <v>0.0176</v>
      </c>
      <c r="S48" s="514" t="n">
        <f aca="false">IF(OR(ISTEXT(H48),R48=0),"",IF(R48&lt;0.1,1,IF(R48&lt;1,2,IF(R48&lt;10,3,IF(R48&lt;50,4,IF(R48&gt;=50,5,""))))))</f>
        <v>1</v>
      </c>
      <c r="T48" s="514" t="n">
        <f aca="false">IF(ISERROR(S48*J48),0,S48*J48)</f>
        <v>14</v>
      </c>
      <c r="U48" s="514" t="n">
        <f aca="false">IF(ISERROR(S48*J48*K48),0,S48*J48*K48)</f>
        <v>28</v>
      </c>
      <c r="V48" s="530" t="n">
        <f aca="false">IF(ISERROR(S48*K48),0,S48*K48)</f>
        <v>2</v>
      </c>
      <c r="W48" s="531"/>
      <c r="X48" s="532"/>
      <c r="Y48" s="517" t="str">
        <f aca="false">IF(AND(ISNUMBER(F48),OR(A48="",A48="!!!!!!")),"!!!!!!",IF(A48="new.cod","NEWCOD",IF(AND((Z48=""),ISTEXT(A48),A48&lt;&gt;"!!!!!!"),A48,IF(Z48="","",INDEX('liste reference'!$A$6:$A$1174,Z48)))))</f>
        <v>BERERE</v>
      </c>
      <c r="Z48" s="499" t="n">
        <f aca="false">IF(ISERROR(MATCH(A48,'liste reference'!$A$6:$A$1174,0)),IF(ISERROR(MATCH(A48,'liste reference'!$B$6:$B$1174,0)),"",(MATCH(A48,'liste reference'!$B$6:$B$1174,0))),(MATCH(A48,'liste reference'!$A$6:$A$1174,0)))</f>
        <v>625</v>
      </c>
    </row>
    <row r="49" customFormat="false" ht="12.75" hidden="false" customHeight="false" outlineLevel="0" collapsed="false">
      <c r="A49" s="518" t="s">
        <v>2104</v>
      </c>
      <c r="B49" s="519" t="n">
        <v>0.05</v>
      </c>
      <c r="C49" s="520"/>
      <c r="D49" s="521" t="str">
        <f aca="false">IF(ISERROR(VLOOKUP($A49,'liste reference'!$A$6:$B$1174,2,0)),IF(ISERROR(VLOOKUP($A49,'liste reference'!$B$6:$B$1174,1,0)),"",VLOOKUP($A49,'liste reference'!$B$6:$B$1174,1,0)),VLOOKUP($A49,'liste reference'!$A$6:$B$1174,2,0))</f>
        <v>Iris pseudacorus</v>
      </c>
      <c r="E49" s="522" t="e">
        <f aca="false">IF(D49="",0,VLOOKUP(D49,D$22:D48,1,0))</f>
        <v>#N/A</v>
      </c>
      <c r="F49" s="523" t="n">
        <f aca="false">IF(AND(OR(A49="",A49="!!!!!!"),B49="",C49=""),"",IF(OR(AND(B49="",C49=""),ISERROR(C49+B49)),"!!!",($B49*$B$7+$C49*$C$7)/100))</f>
        <v>0.006</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n">
        <f aca="false">IF(ISNUMBER($H49),IF(ISERROR(VLOOKUP($A49,'liste reference'!$A$6:$Q$1174,6,0)),IF(ISERROR(VLOOKUP($A49,'liste reference'!$B$6:$Q$1174,5,0)),"nu",VLOOKUP($A49,'liste reference'!$B$6:$Q$1174,5,0)),VLOOKUP($A49,'liste reference'!$A$6:$Q$1174,6,0)),"nu")</f>
        <v>10</v>
      </c>
      <c r="K49" s="526" t="n">
        <f aca="false">IF(ISNUMBER($H49),IF(ISERROR(VLOOKUP($A49,'liste reference'!$A$6:$Q$1174,7,0)),IF(ISERROR(VLOOKUP($A49,'liste reference'!$B$6:$Q$1174,6,0)),"nu",VLOOKUP($A49,'liste reference'!$B$6:$Q$1174,6,0)),VLOOKUP($A49,'liste reference'!$A$6:$Q$1174,7,0)),"nu")</f>
        <v>1</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Iris pseudacorus</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1601</v>
      </c>
      <c r="R49" s="513" t="n">
        <f aca="false">IF(ISTEXT(H49),"",(B49*$B$7/100)+(C49*$C$7/100))</f>
        <v>0.006</v>
      </c>
      <c r="S49" s="514" t="n">
        <f aca="false">IF(OR(ISTEXT(H49),R49=0),"",IF(R49&lt;0.1,1,IF(R49&lt;1,2,IF(R49&lt;10,3,IF(R49&lt;50,4,IF(R49&gt;=50,5,""))))))</f>
        <v>1</v>
      </c>
      <c r="T49" s="514" t="n">
        <f aca="false">IF(ISERROR(S49*J49),0,S49*J49)</f>
        <v>10</v>
      </c>
      <c r="U49" s="514" t="n">
        <f aca="false">IF(ISERROR(S49*J49*K49),0,S49*J49*K49)</f>
        <v>10</v>
      </c>
      <c r="V49" s="530" t="n">
        <f aca="false">IF(ISERROR(S49*K49),0,S49*K49)</f>
        <v>1</v>
      </c>
      <c r="W49" s="531"/>
      <c r="X49" s="532"/>
      <c r="Y49" s="517" t="str">
        <f aca="false">IF(AND(ISNUMBER(F49),OR(A49="",A49="!!!!!!")),"!!!!!!",IF(A49="new.cod","NEWCOD",IF(AND((Z49=""),ISTEXT(A49),A49&lt;&gt;"!!!!!!"),A49,IF(Z49="","",INDEX('liste reference'!$A$6:$A$1174,Z49)))))</f>
        <v>IRIPSE</v>
      </c>
      <c r="Z49" s="499" t="n">
        <f aca="false">IF(ISERROR(MATCH(A49,'liste reference'!$A$6:$A$1174,0)),IF(ISERROR(MATCH(A49,'liste reference'!$B$6:$B$1174,0)),"",(MATCH(A49,'liste reference'!$B$6:$B$1174,0))),(MATCH(A49,'liste reference'!$A$6:$A$1174,0)))</f>
        <v>682</v>
      </c>
    </row>
    <row r="50" customFormat="false" ht="12.75" hidden="false" customHeight="false" outlineLevel="0" collapsed="false">
      <c r="A50" s="518" t="s">
        <v>2135</v>
      </c>
      <c r="B50" s="519" t="n">
        <v>1</v>
      </c>
      <c r="C50" s="520" t="n">
        <v>1.5</v>
      </c>
      <c r="D50" s="521" t="str">
        <f aca="false">IF(ISERROR(VLOOKUP($A50,'liste reference'!$A$6:$B$1174,2,0)),IF(ISERROR(VLOOKUP($A50,'liste reference'!$B$6:$B$1174,1,0)),"",VLOOKUP($A50,'liste reference'!$B$6:$B$1174,1,0)),VLOOKUP($A50,'liste reference'!$A$6:$B$1174,2,0))</f>
        <v>Mentha aquatica</v>
      </c>
      <c r="E50" s="522" t="e">
        <f aca="false">IF(D50="",0,VLOOKUP(D50,D$22:D49,1,0))</f>
        <v>#N/A</v>
      </c>
      <c r="F50" s="523" t="n">
        <f aca="false">IF(AND(OR(A50="",A50="!!!!!!"),B50="",C50=""),"",IF(OR(AND(B50="",C50=""),ISERROR(C50+B50)),"!!!",($B50*$B$7+$C50*$C$7)/100))</f>
        <v>1.44</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12</v>
      </c>
      <c r="K50" s="526" t="n">
        <f aca="false">IF(ISNUMBER($H50),IF(ISERROR(VLOOKUP($A50,'liste reference'!$A$6:$Q$1174,7,0)),IF(ISERROR(VLOOKUP($A50,'liste reference'!$B$6:$Q$1174,6,0)),"nu",VLOOKUP($A50,'liste reference'!$B$6:$Q$1174,6,0)),VLOOKUP($A50,'liste reference'!$A$6:$Q$1174,7,0)),"nu")</f>
        <v>1</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Mentha aquatica</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1791</v>
      </c>
      <c r="R50" s="513" t="n">
        <f aca="false">IF(ISTEXT(H50),"",(B50*$B$7/100)+(C50*$C$7/100))</f>
        <v>1.44</v>
      </c>
      <c r="S50" s="514" t="n">
        <f aca="false">IF(OR(ISTEXT(H50),R50=0),"",IF(R50&lt;0.1,1,IF(R50&lt;1,2,IF(R50&lt;10,3,IF(R50&lt;50,4,IF(R50&gt;=50,5,""))))))</f>
        <v>3</v>
      </c>
      <c r="T50" s="514" t="n">
        <f aca="false">IF(ISERROR(S50*J50),0,S50*J50)</f>
        <v>36</v>
      </c>
      <c r="U50" s="514" t="n">
        <f aca="false">IF(ISERROR(S50*J50*K50),0,S50*J50*K50)</f>
        <v>36</v>
      </c>
      <c r="V50" s="530" t="n">
        <f aca="false">IF(ISERROR(S50*K50),0,S50*K50)</f>
        <v>3</v>
      </c>
      <c r="W50" s="531"/>
      <c r="X50" s="532"/>
      <c r="Y50" s="517" t="str">
        <f aca="false">IF(AND(ISNUMBER(F50),OR(A50="",A50="!!!!!!")),"!!!!!!",IF(A50="new.cod","NEWCOD",IF(AND((Z50=""),ISTEXT(A50),A50&lt;&gt;"!!!!!!"),A50,IF(Z50="","",INDEX('liste reference'!$A$6:$A$1174,Z50)))))</f>
        <v>MENAQU</v>
      </c>
      <c r="Z50" s="499" t="n">
        <f aca="false">IF(ISERROR(MATCH(A50,'liste reference'!$A$6:$A$1174,0)),IF(ISERROR(MATCH(A50,'liste reference'!$B$6:$B$1174,0)),"",(MATCH(A50,'liste reference'!$B$6:$B$1174,0))),(MATCH(A50,'liste reference'!$A$6:$A$1174,0)))</f>
        <v>694</v>
      </c>
    </row>
    <row r="51" customFormat="false" ht="12.75" hidden="false" customHeight="false" outlineLevel="0" collapsed="false">
      <c r="A51" s="518" t="s">
        <v>2209</v>
      </c>
      <c r="B51" s="519"/>
      <c r="C51" s="520" t="n">
        <v>0.005</v>
      </c>
      <c r="D51" s="521" t="str">
        <f aca="false">IF(ISERROR(VLOOKUP($A51,'liste reference'!$A$6:$B$1174,2,0)),IF(ISERROR(VLOOKUP($A51,'liste reference'!$B$6:$B$1174,1,0)),"",VLOOKUP($A51,'liste reference'!$B$6:$B$1174,1,0)),VLOOKUP($A51,'liste reference'!$A$6:$B$1174,2,0))</f>
        <v>Schoenoplectus lacustris</v>
      </c>
      <c r="E51" s="522" t="e">
        <f aca="false">IF(D51="",0,VLOOKUP(D51,D$22:D50,1,0))</f>
        <v>#N/A</v>
      </c>
      <c r="F51" s="523" t="n">
        <f aca="false">IF(AND(OR(A51="",A51="!!!!!!"),B51="",C51=""),"",IF(OR(AND(B51="",C51=""),ISERROR(C51+B51)),"!!!",($B51*$B$7+$C51*$C$7)/100))</f>
        <v>0.0044</v>
      </c>
      <c r="G51" s="524" t="str">
        <f aca="false">IF(A51="","",IF(ISERROR(VLOOKUP($A51,'liste reference'!$A$6:$Q$1174,9,0)),IF(ISERROR(VLOOKUP($A51,'liste reference'!$B$6:$Q$1174,8,0)),"    -",VLOOKUP($A51,'liste reference'!$B$6:$Q$1174,8,0)),VLOOKUP($A51,'liste reference'!$A$6:$Q$1174,9,0)))</f>
        <v>PHe</v>
      </c>
      <c r="H51" s="525" t="n">
        <f aca="false">IF(A51="","x",IF(ISERROR(VLOOKUP($A51,'liste reference'!$A$6:$Q$1174,10,0)),IF(ISERROR(VLOOKUP($A51,'liste reference'!$B$6:$Q$1174,9,0)),"x",VLOOKUP($A51,'liste reference'!$B$6:$Q$1174,9,0)),VLOOKUP($A51,'liste reference'!$A$6:$Q$1174,10,0)))</f>
        <v>8</v>
      </c>
      <c r="I51" s="309" t="n">
        <f aca="false">IF(A51="","",1)</f>
        <v>1</v>
      </c>
      <c r="J51" s="526" t="n">
        <f aca="false">IF(ISNUMBER($H51),IF(ISERROR(VLOOKUP($A51,'liste reference'!$A$6:$Q$1174,6,0)),IF(ISERROR(VLOOKUP($A51,'liste reference'!$B$6:$Q$1174,5,0)),"nu",VLOOKUP($A51,'liste reference'!$B$6:$Q$1174,5,0)),VLOOKUP($A51,'liste reference'!$A$6:$Q$1174,6,0)),"nu")</f>
        <v>8</v>
      </c>
      <c r="K51" s="526" t="n">
        <f aca="false">IF(ISNUMBER($H51),IF(ISERROR(VLOOKUP($A51,'liste reference'!$A$6:$Q$1174,7,0)),IF(ISERROR(VLOOKUP($A51,'liste reference'!$B$6:$Q$1174,6,0)),"nu",VLOOKUP($A51,'liste reference'!$B$6:$Q$1174,6,0)),VLOOKUP($A51,'liste reference'!$A$6:$Q$1174,7,0)),"nu")</f>
        <v>2</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Schoenoplectus lacustris</v>
      </c>
      <c r="M51" s="533"/>
      <c r="N51" s="533"/>
      <c r="O51" s="533"/>
      <c r="P51" s="528" t="s">
        <v>3443</v>
      </c>
      <c r="Q51" s="529" t="n">
        <f aca="false">IF(OR($A51="NEWCOD",$A51="!!!!!!"),IF(X51="","NoCod",X51),IF($A51="","",IF(ISERROR(VLOOKUP($A51,'liste reference'!$A$6:$H$1174,8,FALSE())),IF(ISERROR(VLOOKUP($A51,'liste reference'!$B$6:$H$1174,7,FALSE())),"",VLOOKUP($A51,'liste reference'!$B$6:$H$1174,7,FALSE())),VLOOKUP($A51,'liste reference'!$A$6:$H$1174,8,FALSE()))))</f>
        <v>31026</v>
      </c>
      <c r="R51" s="513" t="n">
        <f aca="false">IF(ISTEXT(H51),"",(B51*$B$7/100)+(C51*$C$7/100))</f>
        <v>0.0044</v>
      </c>
      <c r="S51" s="514" t="n">
        <f aca="false">IF(OR(ISTEXT(H51),R51=0),"",IF(R51&lt;0.1,1,IF(R51&lt;1,2,IF(R51&lt;10,3,IF(R51&lt;50,4,IF(R51&gt;=50,5,""))))))</f>
        <v>1</v>
      </c>
      <c r="T51" s="514" t="n">
        <f aca="false">IF(ISERROR(S51*J51),0,S51*J51)</f>
        <v>8</v>
      </c>
      <c r="U51" s="514" t="n">
        <f aca="false">IF(ISERROR(S51*J51*K51),0,S51*J51*K51)</f>
        <v>16</v>
      </c>
      <c r="V51" s="530" t="n">
        <f aca="false">IF(ISERROR(S51*K51),0,S51*K51)</f>
        <v>2</v>
      </c>
      <c r="W51" s="531"/>
      <c r="X51" s="532"/>
      <c r="Y51" s="517" t="str">
        <f aca="false">IF(AND(ISNUMBER(F51),OR(A51="",A51="!!!!!!")),"!!!!!!",IF(A51="new.cod","NEWCOD",IF(AND((Z51=""),ISTEXT(A51),A51&lt;&gt;"!!!!!!"),A51,IF(Z51="","",INDEX('liste reference'!$A$6:$A$1174,Z51)))))</f>
        <v>SCNLAC</v>
      </c>
      <c r="Z51" s="499" t="n">
        <f aca="false">IF(ISERROR(MATCH(A51,'liste reference'!$A$6:$A$1174,0)),IF(ISERROR(MATCH(A51,'liste reference'!$B$6:$B$1174,0)),"",(MATCH(A51,'liste reference'!$B$6:$B$1174,0))),(MATCH(A51,'liste reference'!$A$6:$A$1174,0)))</f>
        <v>722</v>
      </c>
    </row>
    <row r="52" customFormat="false" ht="12.75" hidden="false" customHeight="false" outlineLevel="0" collapsed="false">
      <c r="A52" s="518" t="s">
        <v>2259</v>
      </c>
      <c r="B52" s="519"/>
      <c r="C52" s="520" t="n">
        <v>0.005</v>
      </c>
      <c r="D52" s="521" t="str">
        <f aca="false">IF(ISERROR(VLOOKUP($A52,'liste reference'!$A$6:$B$1174,2,0)),IF(ISERROR(VLOOKUP($A52,'liste reference'!$B$6:$B$1174,1,0)),"",VLOOKUP($A52,'liste reference'!$B$6:$B$1174,1,0)),VLOOKUP($A52,'liste reference'!$A$6:$B$1174,2,0))</f>
        <v>Veronica anagallis-aquatica</v>
      </c>
      <c r="E52" s="522" t="e">
        <f aca="false">IF(D52="",0,VLOOKUP(D52,D$22:D51,1,0))</f>
        <v>#N/A</v>
      </c>
      <c r="F52" s="523" t="n">
        <f aca="false">IF(AND(OR(A52="",A52="!!!!!!"),B52="",C52=""),"",IF(OR(AND(B52="",C52=""),ISERROR(C52+B52)),"!!!",($B52*$B$7+$C52*$C$7)/100))</f>
        <v>0.0044</v>
      </c>
      <c r="G52" s="524" t="str">
        <f aca="false">IF(A52="","",IF(ISERROR(VLOOKUP($A52,'liste reference'!$A$6:$Q$1174,9,0)),IF(ISERROR(VLOOKUP($A52,'liste reference'!$B$6:$Q$1174,8,0)),"    -",VLOOKUP($A52,'liste reference'!$B$6:$Q$1174,8,0)),VLOOKUP($A52,'liste reference'!$A$6:$Q$1174,9,0)))</f>
        <v>PHe</v>
      </c>
      <c r="H52" s="525" t="n">
        <f aca="false">IF(A52="","x",IF(ISERROR(VLOOKUP($A52,'liste reference'!$A$6:$Q$1174,10,0)),IF(ISERROR(VLOOKUP($A52,'liste reference'!$B$6:$Q$1174,9,0)),"x",VLOOKUP($A52,'liste reference'!$B$6:$Q$1174,9,0)),VLOOKUP($A52,'liste reference'!$A$6:$Q$1174,10,0)))</f>
        <v>8</v>
      </c>
      <c r="I52" s="309" t="n">
        <f aca="false">IF(A52="","",1)</f>
        <v>1</v>
      </c>
      <c r="J52" s="526" t="n">
        <f aca="false">IF(ISNUMBER($H52),IF(ISERROR(VLOOKUP($A52,'liste reference'!$A$6:$Q$1174,6,0)),IF(ISERROR(VLOOKUP($A52,'liste reference'!$B$6:$Q$1174,5,0)),"nu",VLOOKUP($A52,'liste reference'!$B$6:$Q$1174,5,0)),VLOOKUP($A52,'liste reference'!$A$6:$Q$1174,6,0)),"nu")</f>
        <v>11</v>
      </c>
      <c r="K52" s="526" t="n">
        <f aca="false">IF(ISNUMBER($H52),IF(ISERROR(VLOOKUP($A52,'liste reference'!$A$6:$Q$1174,7,0)),IF(ISERROR(VLOOKUP($A52,'liste reference'!$B$6:$Q$1174,6,0)),"nu",VLOOKUP($A52,'liste reference'!$B$6:$Q$1174,6,0)),VLOOKUP($A52,'liste reference'!$A$6:$Q$1174,7,0)),"nu")</f>
        <v>2</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Veronica anagallis-aquatica</v>
      </c>
      <c r="M52" s="527"/>
      <c r="N52" s="527"/>
      <c r="O52" s="527"/>
      <c r="P52" s="528" t="s">
        <v>3464</v>
      </c>
      <c r="Q52" s="529" t="n">
        <f aca="false">IF(OR($A52="NEWCOD",$A52="!!!!!!"),IF(X52="","NoCod",X52),IF($A52="","",IF(ISERROR(VLOOKUP($A52,'liste reference'!$A$6:$H$1174,8,FALSE())),IF(ISERROR(VLOOKUP($A52,'liste reference'!$B$6:$H$1174,7,FALSE())),"",VLOOKUP($A52,'liste reference'!$B$6:$H$1174,7,FALSE())),VLOOKUP($A52,'liste reference'!$A$6:$H$1174,8,FALSE()))))</f>
        <v>1955</v>
      </c>
      <c r="R52" s="513" t="n">
        <f aca="false">IF(ISTEXT(H52),"",(B52*$B$7/100)+(C52*$C$7/100))</f>
        <v>0.0044</v>
      </c>
      <c r="S52" s="514" t="n">
        <f aca="false">IF(OR(ISTEXT(H52),R52=0),"",IF(R52&lt;0.1,1,IF(R52&lt;1,2,IF(R52&lt;10,3,IF(R52&lt;50,4,IF(R52&gt;=50,5,""))))))</f>
        <v>1</v>
      </c>
      <c r="T52" s="514" t="n">
        <f aca="false">IF(ISERROR(S52*J52),0,S52*J52)</f>
        <v>11</v>
      </c>
      <c r="U52" s="514" t="n">
        <f aca="false">IF(ISERROR(S52*J52*K52),0,S52*J52*K52)</f>
        <v>22</v>
      </c>
      <c r="V52" s="530" t="n">
        <f aca="false">IF(ISERROR(S52*K52),0,S52*K52)</f>
        <v>2</v>
      </c>
      <c r="W52" s="531"/>
      <c r="X52" s="532"/>
      <c r="Y52" s="517" t="str">
        <f aca="false">IF(AND(ISNUMBER(F52),OR(A52="",A52="!!!!!!")),"!!!!!!",IF(A52="new.cod","NEWCOD",IF(AND((Z52=""),ISTEXT(A52),A52&lt;&gt;"!!!!!!"),A52,IF(Z52="","",INDEX('liste reference'!$A$6:$A$1174,Z52)))))</f>
        <v>VERANA</v>
      </c>
      <c r="Z52" s="499" t="n">
        <f aca="false">IF(ISERROR(MATCH(A52,'liste reference'!$A$6:$A$1174,0)),IF(ISERROR(MATCH(A52,'liste reference'!$B$6:$B$1174,0)),"",(MATCH(A52,'liste reference'!$B$6:$B$1174,0))),(MATCH(A52,'liste reference'!$A$6:$A$1174,0)))</f>
        <v>740</v>
      </c>
    </row>
    <row r="53" customFormat="false" ht="12.75" hidden="false" customHeight="false" outlineLevel="0" collapsed="false">
      <c r="A53" s="518" t="s">
        <v>2698</v>
      </c>
      <c r="B53" s="519" t="n">
        <v>0.005</v>
      </c>
      <c r="C53" s="520" t="n">
        <v>0.005</v>
      </c>
      <c r="D53" s="521" t="str">
        <f aca="false">IF(ISERROR(VLOOKUP($A53,'liste reference'!$A$6:$B$1174,2,0)),IF(ISERROR(VLOOKUP($A53,'liste reference'!$B$6:$B$1174,1,0)),"",VLOOKUP($A53,'liste reference'!$B$6:$B$1174,1,0)),VLOOKUP($A53,'liste reference'!$A$6:$B$1174,2,0))</f>
        <v>Lythrum salicaria</v>
      </c>
      <c r="E53" s="522" t="e">
        <f aca="false">IF(D53="",0,VLOOKUP(D53,D$22:D52,1,0))</f>
        <v>#N/A</v>
      </c>
      <c r="F53" s="523" t="n">
        <f aca="false">IF(AND(OR(A53="",A53="!!!!!!"),B53="",C53=""),"",IF(OR(AND(B53="",C53=""),ISERROR(C53+B53)),"!!!",($B53*$B$7+$C53*$C$7)/100))</f>
        <v>0.005</v>
      </c>
      <c r="G53" s="524" t="str">
        <f aca="false">IF(A53="","",IF(ISERROR(VLOOKUP($A53,'liste reference'!$A$6:$Q$1174,9,0)),IF(ISERROR(VLOOKUP($A53,'liste reference'!$B$6:$Q$1174,8,0)),"    -",VLOOKUP($A53,'liste reference'!$B$6:$Q$1174,8,0)),VLOOKUP($A53,'liste reference'!$A$6:$Q$1174,9,0)))</f>
        <v>PHg</v>
      </c>
      <c r="H53" s="525" t="n">
        <f aca="false">IF(A53="","x",IF(ISERROR(VLOOKUP($A53,'liste reference'!$A$6:$Q$1174,10,0)),IF(ISERROR(VLOOKUP($A53,'liste reference'!$B$6:$Q$1174,9,0)),"x",VLOOKUP($A53,'liste reference'!$B$6:$Q$1174,9,0)),VLOOKUP($A53,'liste reference'!$A$6:$Q$1174,10,0)))</f>
        <v>9</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Lythrum salicaria</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1823</v>
      </c>
      <c r="R53" s="513" t="n">
        <f aca="false">IF(ISTEXT(H53),"",(B53*$B$7/100)+(C53*$C$7/100))</f>
        <v>0.005</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LYTSAL</v>
      </c>
      <c r="Z53" s="499" t="n">
        <f aca="false">IF(ISERROR(MATCH(A53,'liste reference'!$A$6:$A$1174,0)),IF(ISERROR(MATCH(A53,'liste reference'!$B$6:$B$1174,0)),"",(MATCH(A53,'liste reference'!$B$6:$B$1174,0))),(MATCH(A53,'liste reference'!$A$6:$A$1174,0)))</f>
        <v>902</v>
      </c>
    </row>
    <row r="54" customFormat="false" ht="12.75" hidden="false" customHeight="false" outlineLevel="0" collapsed="false">
      <c r="A54" s="518" t="s">
        <v>2859</v>
      </c>
      <c r="B54" s="519"/>
      <c r="C54" s="520" t="n">
        <v>0.001</v>
      </c>
      <c r="D54" s="521" t="str">
        <f aca="false">IF(ISERROR(VLOOKUP($A54,'liste reference'!$A$6:$B$1174,2,0)),IF(ISERROR(VLOOKUP($A54,'liste reference'!$B$6:$B$1174,1,0)),"",VLOOKUP($A54,'liste reference'!$B$6:$B$1174,1,0)),VLOOKUP($A54,'liste reference'!$A$6:$B$1174,2,0))</f>
        <v>Samolus valerandi</v>
      </c>
      <c r="E54" s="522" t="e">
        <f aca="false">IF(D54="",0,VLOOKUP(D54,D$22:D53,1,0))</f>
        <v>#N/A</v>
      </c>
      <c r="F54" s="523" t="n">
        <f aca="false">IF(AND(OR(A54="",A54="!!!!!!"),B54="",C54=""),"",IF(OR(AND(B54="",C54=""),ISERROR(C54+B54)),"!!!",($B54*$B$7+$C54*$C$7)/100))</f>
        <v>0.00088</v>
      </c>
      <c r="G54" s="524" t="str">
        <f aca="false">IF(A54="","",IF(ISERROR(VLOOKUP($A54,'liste reference'!$A$6:$Q$1174,9,0)),IF(ISERROR(VLOOKUP($A54,'liste reference'!$B$6:$Q$1174,8,0)),"    -",VLOOKUP($A54,'liste reference'!$B$6:$Q$1174,8,0)),VLOOKUP($A54,'liste reference'!$A$6:$Q$1174,9,0)))</f>
        <v>PHg</v>
      </c>
      <c r="H54" s="525" t="n">
        <f aca="false">IF(A54="","x",IF(ISERROR(VLOOKUP($A54,'liste reference'!$A$6:$Q$1174,10,0)),IF(ISERROR(VLOOKUP($A54,'liste reference'!$B$6:$Q$1174,9,0)),"x",VLOOKUP($A54,'liste reference'!$B$6:$Q$1174,9,0)),VLOOKUP($A54,'liste reference'!$A$6:$Q$1174,10,0)))</f>
        <v>9</v>
      </c>
      <c r="I54" s="309" t="n">
        <f aca="false">IF(A54="","",1)</f>
        <v>1</v>
      </c>
      <c r="J54" s="526" t="str">
        <f aca="false">IF(ISNUMBER($H54),IF(ISERROR(VLOOKUP($A54,'liste reference'!$A$6:$Q$1174,6,0)),IF(ISERROR(VLOOKUP($A54,'liste reference'!$B$6:$Q$1174,5,0)),"nu",VLOOKUP($A54,'liste reference'!$B$6:$Q$1174,5,0)),VLOOKUP($A54,'liste reference'!$A$6:$Q$1174,6,0)),"nu")</f>
        <v>nc</v>
      </c>
      <c r="K54" s="526" t="str">
        <f aca="false">IF(ISNUMBER($H54),IF(ISERROR(VLOOKUP($A54,'liste reference'!$A$6:$Q$1174,7,0)),IF(ISERROR(VLOOKUP($A54,'liste reference'!$B$6:$Q$1174,6,0)),"nu",VLOOKUP($A54,'liste reference'!$B$6:$Q$1174,6,0)),VLOOKUP($A54,'liste reference'!$A$6:$Q$1174,7,0)),"nu")</f>
        <v>nc</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Samolus valerandi</v>
      </c>
      <c r="M54" s="527"/>
      <c r="N54" s="527"/>
      <c r="O54" s="527"/>
      <c r="P54" s="528" t="s">
        <v>3443</v>
      </c>
      <c r="Q54" s="529" t="n">
        <f aca="false">IF(OR($A54="NEWCOD",$A54="!!!!!!"),IF(X54="","NoCod",X54),IF($A54="","",IF(ISERROR(VLOOKUP($A54,'liste reference'!$A$6:$H$1174,8,FALSE())),IF(ISERROR(VLOOKUP($A54,'liste reference'!$B$6:$H$1174,7,FALSE())),"",VLOOKUP($A54,'liste reference'!$B$6:$H$1174,7,FALSE())),VLOOKUP($A54,'liste reference'!$A$6:$H$1174,8,FALSE()))))</f>
        <v>1889</v>
      </c>
      <c r="R54" s="513" t="n">
        <f aca="false">IF(ISTEXT(H54),"",(B54*$B$7/100)+(C54*$C$7/100))</f>
        <v>0.00088</v>
      </c>
      <c r="S54" s="514" t="n">
        <f aca="false">IF(OR(ISTEXT(H54),R54=0),"",IF(R54&lt;0.1,1,IF(R54&lt;1,2,IF(R54&lt;10,3,IF(R54&lt;50,4,IF(R54&gt;=50,5,""))))))</f>
        <v>1</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SAMVAL</v>
      </c>
      <c r="Z54" s="499" t="n">
        <f aca="false">IF(ISERROR(MATCH(A54,'liste reference'!$A$6:$A$1174,0)),IF(ISERROR(MATCH(A54,'liste reference'!$B$6:$B$1174,0)),"",(MATCH(A54,'liste reference'!$B$6:$B$1174,0))),(MATCH(A54,'liste reference'!$A$6:$A$1174,0)))</f>
        <v>958</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22.67536</v>
      </c>
      <c r="G83" s="452"/>
      <c r="H83" s="452"/>
      <c r="I83" s="452"/>
      <c r="J83" s="452"/>
      <c r="K83" s="452"/>
      <c r="L83" s="452"/>
      <c r="M83" s="514"/>
      <c r="N83" s="514"/>
      <c r="O83" s="514"/>
      <c r="P83" s="514"/>
      <c r="Q83" s="514"/>
      <c r="R83" s="514"/>
      <c r="S83" s="514"/>
      <c r="T83" s="514"/>
      <c r="U83" s="514"/>
      <c r="V83" s="514" t="n">
        <f aca="false">SUM(V23:V82)</f>
        <v>68</v>
      </c>
      <c r="W83" s="514"/>
      <c r="X83" s="552"/>
      <c r="Y83" s="552"/>
      <c r="Z83" s="553"/>
    </row>
    <row r="84" customFormat="false" ht="12.75" hidden="true" customHeight="false" outlineLevel="0" collapsed="false">
      <c r="A84" s="547" t="str">
        <f aca="false">A3</f>
        <v>Lez</v>
      </c>
      <c r="B84" s="481" t="str">
        <f aca="false">C3</f>
        <v>Prades le Lez</v>
      </c>
      <c r="C84" s="554" t="str">
        <f aca="false">A4</f>
        <v>(Date)</v>
      </c>
      <c r="D84" s="555" t="n">
        <f aca="false">IF(OR(ISERROR(SUM($U$23:$U$82)/SUM($V$23:$V$82)),F7&lt;&gt;100),-1,SUM($U$23:$U$82)/SUM($V$23:$V$82))</f>
        <v>9.86764705882353</v>
      </c>
      <c r="E84" s="556" t="n">
        <f aca="false">O13</f>
        <v>32</v>
      </c>
      <c r="F84" s="481" t="n">
        <f aca="false">O14</f>
        <v>24</v>
      </c>
      <c r="G84" s="481" t="n">
        <f aca="false">O15</f>
        <v>10</v>
      </c>
      <c r="H84" s="481" t="n">
        <f aca="false">O16</f>
        <v>11</v>
      </c>
      <c r="I84" s="481" t="n">
        <f aca="false">O17</f>
        <v>3</v>
      </c>
      <c r="J84" s="557" t="n">
        <f aca="false">O8</f>
        <v>9.95833333333333</v>
      </c>
      <c r="K84" s="558" t="n">
        <f aca="false">O9</f>
        <v>3.1947765527846</v>
      </c>
      <c r="L84" s="559" t="n">
        <f aca="false">O10</f>
        <v>1</v>
      </c>
      <c r="M84" s="559" t="n">
        <f aca="false">O11</f>
        <v>14</v>
      </c>
      <c r="N84" s="558" t="n">
        <f aca="false">P8</f>
        <v>1.70833333333333</v>
      </c>
      <c r="O84" s="558" t="n">
        <f aca="false">P9</f>
        <v>0.675719780842786</v>
      </c>
      <c r="P84" s="559" t="n">
        <f aca="false">P10</f>
        <v>1</v>
      </c>
      <c r="Q84" s="559" t="n">
        <f aca="false">P11</f>
        <v>3</v>
      </c>
      <c r="R84" s="559" t="n">
        <f aca="false">F21</f>
        <v>22.67536</v>
      </c>
      <c r="S84" s="559" t="n">
        <f aca="false">L11</f>
        <v>0</v>
      </c>
      <c r="T84" s="559" t="n">
        <f aca="false">L12</f>
        <v>11</v>
      </c>
      <c r="U84" s="559" t="n">
        <f aca="false">L13</f>
        <v>9</v>
      </c>
      <c r="V84" s="560" t="n">
        <f aca="false">L15</f>
        <v>11</v>
      </c>
      <c r="W84" s="561" t="n">
        <f aca="false">L15</f>
        <v>11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39</v>
      </c>
      <c r="U87" s="309"/>
      <c r="V87" s="309"/>
    </row>
    <row r="88" customFormat="false" ht="12.75" hidden="true" customHeight="false" outlineLevel="0" collapsed="false">
      <c r="C88" s="563"/>
      <c r="D88" s="563"/>
      <c r="E88" s="563"/>
      <c r="R88" s="309" t="s">
        <v>3446</v>
      </c>
      <c r="S88" s="309"/>
      <c r="T88" s="565" t="n">
        <f aca="false">VLOOKUP($T$91,($A$23:$U$82),21,FALSE())</f>
        <v>117</v>
      </c>
      <c r="U88" s="309"/>
      <c r="V88" s="309" t="n">
        <f aca="false">COUNTIF(V23:V82,T89)</f>
        <v>2</v>
      </c>
    </row>
    <row r="89" customFormat="false" ht="12.75" hidden="true" customHeight="false" outlineLevel="0" collapsed="false">
      <c r="C89" s="563"/>
      <c r="D89" s="563"/>
      <c r="E89" s="563"/>
      <c r="R89" s="309" t="s">
        <v>3447</v>
      </c>
      <c r="S89" s="309"/>
      <c r="T89" s="565" t="n">
        <f aca="false">MAX($V$23:$V$82)</f>
        <v>9</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9.38983050847458</v>
      </c>
      <c r="U90" s="309" t="n">
        <f aca="false">IF(ISERROR(T90),0,1)</f>
        <v>1</v>
      </c>
    </row>
    <row r="91" customFormat="false" ht="12.75" hidden="true" customHeight="false" outlineLevel="0" collapsed="false">
      <c r="C91" s="563"/>
      <c r="D91" s="563"/>
      <c r="E91" s="563"/>
      <c r="R91" s="514" t="s">
        <v>3450</v>
      </c>
      <c r="S91" s="514"/>
      <c r="T91" s="514" t="str">
        <f aca="false">INDEX('liste reference'!$A$6:$A$1174,$U$91)</f>
        <v>CINDAN</v>
      </c>
      <c r="U91" s="309" t="n">
        <f aca="false">IF(ISERROR(MATCH($T$93,'liste reference'!$A$6:$A$1174,0)),MATCH($T$93,'liste reference'!$B$6:$B$1174,0),(MATCH($T$93,'liste reference'!$A$6:$A$1174,0)))</f>
        <v>222</v>
      </c>
      <c r="V91" s="567"/>
    </row>
    <row r="92" customFormat="false" ht="12.75" hidden="true" customHeight="false" outlineLevel="0" collapsed="false">
      <c r="C92" s="563"/>
      <c r="D92" s="563"/>
      <c r="E92" s="563"/>
      <c r="R92" s="309" t="s">
        <v>3451</v>
      </c>
      <c r="S92" s="309"/>
      <c r="T92" s="309" t="n">
        <f aca="false">MATCH(T89,$V$23:$V$82,0)</f>
        <v>13</v>
      </c>
      <c r="U92" s="309"/>
    </row>
    <row r="93" customFormat="false" ht="12.75" hidden="true" customHeight="false" outlineLevel="0" collapsed="false">
      <c r="C93" s="563"/>
      <c r="D93" s="563"/>
      <c r="E93" s="563"/>
      <c r="R93" s="514" t="s">
        <v>3452</v>
      </c>
      <c r="S93" s="309"/>
      <c r="T93" s="514" t="str">
        <f aca="false">INDEX($A$23:$A$82,$T$92)</f>
        <v>CINDAN</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3463</v>
      </c>
    </row>
    <row r="39" customFormat="false" ht="15" hidden="false" customHeight="false" outlineLevel="0" collapsed="false">
      <c r="A39" s="594" t="s">
        <v>2981</v>
      </c>
      <c r="B39" s="596" t="s">
        <v>2982</v>
      </c>
      <c r="C39" s="597"/>
      <c r="D39" s="598"/>
      <c r="F39" s="613" t="s">
        <v>3462</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2016-04-14T14:33:23Z</dcterms:modified>
  <cp:revision>0</cp:revision>
  <dc:subject/>
  <dc:title>Feuille d'aide au calcul de l'IBMR</dc:title>
</cp:coreProperties>
</file>