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4.xml" ContentType="application/vnd.ms-excel.controlproperties+xml"/>
  <Override PartName="/xl/ctrlProps/ctrlProps23.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37.xml" ContentType="application/vnd.ms-excel.controlproperties+xml"/>
  <Override PartName="/xl/ctrlProps/ctrlProps38.xml" ContentType="application/vnd.ms-excel.controlproperties+xml"/>
  <Override PartName="/xl/ctrlProps/ctrlProps40.xml" ContentType="application/vnd.ms-excel.controlproperties+xml"/>
  <Override PartName="/xl/ctrlProps/ctrlProps39.xml" ContentType="application/vnd.ms-excel.controlproperties+xml"/>
  <Override PartName="/xl/ctrlProps/ctrlProps41.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48.xml" ContentType="application/vnd.ms-excel.controlproperties+xml"/>
  <Override PartName="/xl/ctrlProps/ctrlProps11.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7.xml" ContentType="application/vnd.ms-excel.controlproperties+xml"/>
  <Override PartName="/xl/ctrlProps/ctrlProps16.xml" ContentType="application/vnd.ms-excel.controlproperties+xml"/>
  <Override PartName="/xl/ctrlProps/ctrlProps7.xml" ContentType="application/vnd.ms-excel.controlproperties+xml"/>
  <Override PartName="/xl/ctrlProps/ctrlProps6.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12.xml" ContentType="application/vnd.ms-excel.controlproperties+xml"/>
  <Override PartName="/xl/ctrlProps/ctrlProps49.xml" ContentType="application/vnd.ms-excel.controlproperties+xml"/>
  <Override PartName="/xl/ctrlProps/ctrlProps19.xml" ContentType="application/vnd.ms-excel.controlproperties+xml"/>
  <Override PartName="/xl/ctrlProps/ctrlProps8.xml" ContentType="application/vnd.ms-excel.controlproperties+xml"/>
  <Override PartName="/xl/ctrlProps/ctrlProps21.xml" ContentType="application/vnd.ms-excel.controlproperties+xml"/>
  <Override PartName="/xl/drawings/drawing36.xml" ContentType="application/vnd.openxmlformats-officedocument.drawing+xml"/>
  <Override PartName="/xl/drawings/drawing50.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1.xml" ContentType="application/vnd.openxmlformats-officedocument.drawing+xml"/>
  <Override PartName="/xl/drawings/drawing10.xml" ContentType="application/vnd.openxmlformats-officedocument.drawing+xml"/>
  <Override PartName="/xl/drawings/drawing22.xml" ContentType="application/vnd.openxmlformats-officedocument.drawing+xml"/>
  <Override PartName="/xl/drawings/_rels/drawing2.xml.rels" ContentType="application/vnd.openxmlformats-package.relationships+xml"/>
  <Override PartName="/xl/drawings/_rels/drawing1.xml.rels" ContentType="application/vnd.openxmlformats-package.relationships+xml"/>
  <Override PartName="/xl/drawings/vmlDrawing2.vml" ContentType="application/vnd.openxmlformats-officedocument.vmlDrawing"/>
  <Override PartName="/xl/drawings/drawing20.xml" ContentType="application/vnd.openxmlformats-officedocument.drawing+xml"/>
  <Override PartName="/xl/drawings/vmlDrawing6.vml" ContentType="application/vnd.openxmlformats-officedocument.vmlDrawing"/>
  <Override PartName="/xl/drawings/drawing15.xml" ContentType="application/vnd.openxmlformats-officedocument.drawing+xml"/>
  <Override PartName="/xl/drawings/vmlDrawing5.vml" ContentType="application/vnd.openxmlformats-officedocument.vmlDrawing"/>
  <Override PartName="/xl/_rels/workbook.xml.rels" ContentType="application/vnd.openxmlformats-package.relationships+xml"/>
  <Override PartName="/xl/media/image1.png" ContentType="image/png"/>
  <Override PartName="/xl/media/image2.png" ContentType="image/png"/>
  <Override PartName="/xl/media/image3.wmf" ContentType="image/x-wmf"/>
  <Override PartName="/xl/media/image4.wmf" ContentType="image/x-wmf"/>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188785" sheetId="6" state="visible" r:id="rId8"/>
    <sheet name="jgjg" sheetId="7" state="hidden" r:id="rId9"/>
    <sheet name="liste codes réf" sheetId="8" state="hidden" r:id="rId10"/>
  </sheets>
  <definedNames>
    <definedName function="false" hidden="false" localSheetId="5" name="_xlnm.Print_Area" vbProcedure="false">'06188785'!$A$1:$Q$82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'06188785'!$A$1:$Q$82</definedName>
    <definedName function="false" hidden="false" localSheetId="5" name="_xlnm__FilterDatabase" vbProcedure="false">'06188785'!$A$1:$C$1415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<sst xmlns="http://schemas.openxmlformats.org/spreadsheetml/2006/main" count="8851" uniqueCount="3496">
  <si>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</si>
  <si>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</si>
  <si>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</si>
  <si>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</si>
  <si>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</si>
  <si>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</si>
  <si>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</si>
  <si>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</si>
  <si>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</si>
  <si>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</si>
  <si>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</si>
  <si>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</si>
  <si>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</si>
  <si>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</si>
  <si>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</si>
  <si>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</si>
  <si>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</si>
  <si>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</si>
  <si>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</si>
  <si>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</si>
  <si>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</si>
  <si>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</si>
  <si>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</si>
  <si>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</si>
  <si>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</si>
  <si>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</si>
  <si>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</si>
  <si>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</si>
  <si>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</si>
  <si>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</si>
  <si>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</si>
  <si>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</si>
  <si>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</si>
  <si>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</si>
  <si>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</si>
  <si>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</si>
  <si>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</si>
  <si>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</si>
  <si>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</si>
  <si>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</si>
  <si>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</si>
  <si>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</si>
  <si>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</si>
  <si>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</si>
  <si>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</si>
  <si>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</si>
  <si>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</si>
  <si>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</si>
  <si>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</si>
  <si>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</si>
  <si>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</si>
  <si>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</si>
  <si>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</si>
  <si>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</si>
  <si>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</si>
  <si>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</si>
  <si>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</si>
  <si>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</si>
  <si>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</si>
  <si>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</si>
  <si>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</si>
  <si>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</si>
  <si>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</si>
  <si>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</si>
  <si>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</si>
  <si>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</si>
  <si>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</si>
  <si>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</si>
  <si>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</si>
  <si>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</si>
  <si>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</si>
  <si>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</si>
  <si>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</si>
  <si>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</si>
  <si>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</si>
  <si>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</si>
  <si>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</si>
  <si>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</si>
  <si>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</si>
  <si>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</si>
  <si>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</si>
  <si>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</si>
  <si>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</si>
  <si>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</si>
  <si>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</si>
  <si>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</si>
  <si>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</si>
  <si>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</si>
  <si>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</si>
  <si>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</si>
  <si>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</si>
  <si>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</si>
  <si>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</si>
  <si>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</si>
  <si>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</si>
  <si>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</si>
  <si>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</si>
  <si>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</si>
  <si>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</si>
  <si>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</si>
  <si>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</si>
  <si>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</si>
  <si>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</si>
  <si>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</si>
  <si>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</si>
  <si>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</si>
  <si>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</si>
  <si>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</si>
  <si>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</si>
  <si>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</si>
  <si>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</si>
  <si>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</si>
  <si>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</si>
  <si>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</si>
  <si>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</si>
  <si>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</si>
  <si>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</si>
  <si>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</si>
  <si>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</si>
  <si>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</si>
  <si>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</si>
  <si>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</si>
  <si>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</si>
  <si>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</si>
  <si>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</si>
  <si>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</si>
  <si>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</si>
  <si>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</si>
  <si>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</si>
  <si>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</si>
  <si>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</si>
  <si>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</si>
  <si>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</si>
  <si>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</si>
  <si>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</si>
  <si>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</si>
  <si>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</si>
  <si>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</si>
  <si>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</si>
  <si>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</si>
  <si>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</si>
  <si>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</si>
  <si>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</si>
  <si>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</si>
  <si>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</si>
  <si>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</si>
  <si>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</si>
  <si>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</si>
  <si>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</si>
  <si>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</si>
  <si>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</si>
  <si>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</si>
  <si>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</si>
  <si>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</si>
  <si>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</si>
  <si>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</si>
  <si>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</si>
  <si>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</si>
  <si>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</si>
  <si>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</si>
  <si>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</si>
  <si>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</si>
  <si>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</si>
  <si>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</si>
  <si>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</si>
  <si>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</si>
  <si>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</si>
  <si>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</si>
  <si>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</si>
  <si>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</si>
  <si>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</si>
  <si>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</si>
  <si>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</si>
  <si>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</si>
  <si>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</si>
  <si>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</si>
  <si>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</si>
  <si>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</si>
  <si>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</si>
  <si>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</si>
  <si>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</si>
  <si>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</si>
  <si>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</si>
  <si>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</si>
  <si>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</si>
  <si>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</si>
  <si>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</si>
  <si>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</si>
  <si>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</si>
  <si>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</si>
  <si>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</si>
  <si>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</si>
  <si>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</si>
  <si>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</si>
  <si>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</si>
  <si>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</si>
  <si>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</si>
  <si>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</si>
  <si>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</si>
  <si>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</si>
  <si>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</si>
  <si>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</si>
  <si>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</si>
  <si>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</si>
  <si>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</si>
  <si>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</si>
  <si>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</si>
  <si>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</si>
  <si>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</si>
  <si>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</si>
  <si>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</si>
  <si>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</si>
  <si>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</si>
  <si>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</si>
  <si>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</si>
  <si>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</si>
  <si>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</si>
  <si>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</si>
  <si>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</si>
  <si>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</si>
  <si>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</si>
  <si>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</si>
  <si>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</si>
  <si>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</si>
  <si>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</si>
  <si>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</si>
  <si>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</si>
  <si>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</si>
  <si>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</si>
  <si>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</si>
  <si>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</si>
  <si>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</si>
  <si>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</si>
  <si>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</si>
  <si>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</si>
  <si>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</si>
  <si>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</si>
  <si>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</si>
  <si>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</si>
  <si>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</si>
  <si>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</si>
  <si>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</si>
  <si>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</si>
  <si>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</si>
  <si>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</si>
  <si>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</si>
  <si>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</si>
  <si>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</si>
  <si>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</si>
  <si>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</si>
  <si>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</si>
  <si>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</si>
  <si>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</si>
  <si>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</si>
  <si>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</si>
  <si>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</si>
  <si>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</si>
  <si>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</si>
  <si>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</si>
  <si>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</si>
  <si>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</si>
  <si>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</si>
  <si>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</si>
  <si>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</si>
  <si>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</si>
  <si>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</si>
  <si>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</si>
  <si>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</si>
  <si>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</si>
  <si>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</si>
  <si>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</si>
  <si>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</si>
  <si>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</si>
  <si>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</si>
  <si>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</si>
  <si>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</si>
  <si>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</si>
  <si>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</si>
  <si>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</si>
  <si>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</si>
  <si>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</si>
  <si>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</si>
  <si>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</si>
  <si>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</si>
  <si>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</si>
  <si>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</si>
  <si>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</si>
  <si>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</si>
  <si>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</si>
  <si>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</si>
  <si>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</si>
  <si>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</si>
  <si>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</si>
  <si>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</si>
  <si>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</si>
  <si>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</si>
  <si>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</si>
  <si>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</si>
  <si>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</si>
  <si>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</si>
  <si>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</si>
  <si>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</si>
  <si>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</si>
  <si>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</si>
  <si>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</si>
  <si>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</si>
  <si>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</si>
  <si>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</si>
  <si>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</si>
  <si>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</si>
  <si>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</si>
  <si>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</si>
  <si>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</si>
  <si>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</si>
  <si>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</si>
  <si>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</si>
  <si>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</si>
  <si>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</si>
  <si>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</si>
  <si>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</si>
  <si>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</si>
  <si>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</si>
  <si>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</si>
  <si>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</si>
  <si>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</si>
  <si>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</si>
  <si>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</si>
  <si>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</si>
  <si>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</si>
  <si>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</si>
  <si>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</si>
  <si>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</si>
  <si>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</si>
  <si>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</si>
  <si>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</si>
  <si>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</si>
  <si>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</si>
  <si>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</si>
  <si>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</si>
  <si>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</si>
  <si>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</si>
  <si>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</si>
  <si>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</si>
  <si>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</si>
  <si>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</si>
  <si>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</si>
  <si>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</si>
  <si>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</si>
  <si>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</si>
  <si>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</si>
  <si>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</si>
  <si>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</si>
  <si>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</si>
  <si>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</si>
  <si>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</si>
  <si>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</si>
  <si>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</si>
  <si>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</si>
  <si>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</si>
  <si>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</si>
  <si>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</si>
  <si>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</si>
  <si>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</si>
  <si>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</si>
  <si>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</si>
  <si>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</si>
  <si>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</si>
  <si>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</si>
  <si>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</si>
  <si>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</si>
  <si>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</si>
  <si>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</si>
  <si>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</si>
  <si>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</si>
  <si>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</si>
  <si>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</si>
  <si>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</si>
  <si>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</si>
  <si>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</si>
  <si>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</si>
  <si>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</si>
  <si>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</si>
  <si>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</si>
  <si>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</si>
  <si>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</si>
  <si>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</si>
  <si>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</si>
  <si>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</si>
  <si>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</si>
  <si>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</si>
  <si>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</si>
  <si>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</si>
  <si>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</si>
  <si>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</si>
  <si>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</si>
  <si>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</si>
  <si>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</si>
  <si>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</si>
  <si>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</si>
  <si>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</si>
  <si>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</si>
  <si>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</si>
  <si>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</si>
  <si>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</si>
  <si>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</si>
  <si>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</si>
  <si>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</si>
  <si>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</si>
  <si>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</si>
  <si>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</si>
  <si>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</si>
  <si>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</si>
  <si>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</si>
  <si>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</si>
  <si>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</si>
  <si>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</si>
  <si>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</si>
  <si>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</si>
  <si>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</si>
  <si>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</si>
  <si>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</si>
  <si>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</si>
  <si>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</si>
  <si>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</si>
  <si>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</si>
  <si>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</si>
  <si>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</si>
  <si>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</si>
  <si>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</si>
  <si>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</si>
  <si>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</si>
  <si>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</si>
  <si>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</si>
  <si>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</si>
  <si>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</si>
  <si>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</si>
  <si>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</si>
  <si>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</si>
  <si>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</si>
  <si>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</si>
  <si>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</si>
  <si>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</si>
  <si>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</si>
  <si>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</si>
  <si>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</si>
  <si>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</si>
  <si>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</si>
  <si>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</si>
  <si>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</si>
  <si>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</si>
  <si>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</si>
  <si>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</si>
  <si>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</si>
  <si>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</si>
  <si>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</si>
  <si>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</si>
  <si>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</si>
  <si>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</si>
  <si>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</si>
  <si>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</si>
  <si>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</si>
  <si>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</si>
  <si>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</si>
  <si>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</si>
  <si>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</si>
  <si>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</si>
  <si>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</si>
  <si>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</si>
  <si>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</si>
  <si>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</si>
  <si>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</si>
  <si>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</si>
  <si>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</si>
  <si>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</si>
  <si>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</si>
  <si>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</si>
  <si>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</si>
  <si>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</si>
  <si>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</si>
  <si>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</si>
  <si>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</si>
  <si>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</si>
  <si>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</si>
  <si>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</si>
  <si>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</si>
  <si>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</si>
  <si>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</si>
  <si>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</si>
  <si>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</si>
  <si>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</si>
  <si>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</si>
  <si>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</si>
  <si>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</si>
  <si>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</si>
  <si>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</si>
  <si>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</si>
  <si>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</si>
  <si>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</si>
  <si>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</si>
  <si>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</si>
  <si>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</si>
  <si>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</si>
  <si>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</si>
  <si>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</si>
  <si>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</si>
  <si>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</si>
  <si>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</si>
  <si>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</si>
  <si>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</si>
  <si>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</si>
  <si>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</si>
  <si>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</si>
  <si>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</si>
  <si>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</si>
  <si>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</si>
  <si>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</si>
  <si>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</si>
  <si>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</si>
  <si>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</si>
  <si>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</si>
  <si>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</si>
  <si>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</si>
  <si>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</si>
  <si>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</si>
  <si>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</si>
  <si>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</si>
  <si>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</si>
  <si>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</si>
  <si>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</si>
  <si>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</si>
  <si>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</si>
  <si>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</si>
  <si>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</si>
  <si>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</si>
  <si>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</si>
  <si>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</si>
  <si>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</si>
  <si>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</si>
  <si>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</si>
  <si>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</si>
  <si>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</si>
  <si>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</si>
  <si>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</si>
  <si>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</si>
  <si>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</si>
  <si>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</si>
  <si>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</si>
  <si>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</si>
  <si>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</si>
  <si>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</si>
  <si>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</si>
  <si>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</si>
  <si>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</si>
  <si>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</si>
  <si>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</si>
  <si>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</si>
  <si>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</si>
  <si>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</si>
  <si>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</si>
  <si>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</si>
  <si>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</si>
  <si>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</si>
  <si>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</si>
  <si>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</si>
  <si>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</si>
  <si>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</si>
  <si>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</si>
  <si>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</si>
  <si>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</si>
  <si>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</si>
  <si>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</si>
  <si>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</si>
  <si>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</si>
  <si>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</si>
  <si>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</si>
  <si>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</si>
  <si>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</si>
  <si>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</si>
  <si>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</si>
  <si>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</si>
  <si>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</si>
  <si>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</si>
  <si>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</si>
  <si>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</si>
  <si>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</si>
  <si>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</si>
  <si>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</si>
  <si>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</si>
  <si>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</si>
  <si>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</si>
  <si>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</si>
  <si>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</si>
  <si>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</si>
  <si>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</si>
  <si>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</si>
  <si>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</si>
  <si>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</si>
  <si>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</si>
  <si>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</si>
  <si>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</si>
  <si>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</si>
  <si>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</si>
  <si>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</si>
  <si>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</si>
  <si>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</si>
  <si>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</si>
  <si>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</si>
  <si>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</si>
  <si>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</si>
  <si>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</si>
  <si>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</si>
  <si>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</si>
  <si>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</si>
  <si>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</si>
  <si>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</si>
  <si>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</si>
  <si>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</si>
  <si>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</si>
  <si>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</si>
  <si>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</si>
  <si>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</si>
  <si>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</si>
  <si>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</si>
  <si>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</si>
  <si>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</si>
  <si>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</si>
  <si>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</si>
  <si>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</si>
  <si>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</si>
  <si>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</si>
  <si>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</si>
  <si>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</si>
  <si>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</si>
  <si>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</si>
  <si>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</si>
  <si>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</si>
  <si>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</si>
  <si>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</si>
  <si>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</si>
  <si>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</si>
  <si>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</si>
  <si>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</si>
  <si>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</si>
  <si>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</si>
  <si>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</si>
  <si>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</si>
  <si>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</si>
  <si>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</si>
  <si>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</si>
  <si>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</si>
  <si>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</si>
  <si>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</si>
  <si>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</si>
  <si>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</si>
  <si>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</si>
  <si>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</si>
  <si>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</si>
  <si>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</si>
  <si>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</si>
  <si>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</si>
  <si>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</si>
  <si>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</si>
  <si>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</si>
  <si>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</si>
  <si>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</si>
  <si>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</si>
  <si>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</si>
  <si>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</si>
  <si>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</si>
  <si>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</si>
  <si>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</si>
  <si>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</si>
  <si>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</si>
  <si>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</si>
  <si>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</si>
  <si>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</si>
  <si>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</si>
  <si>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</si>
  <si>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</si>
  <si>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</si>
  <si>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</si>
  <si>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</si>
  <si>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</si>
  <si>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</si>
  <si>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</si>
  <si>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</si>
  <si>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</si>
  <si>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</si>
  <si>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</si>
  <si>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</si>
  <si>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</si>
  <si>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</si>
  <si>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</si>
  <si>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</si>
  <si>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</si>
  <si>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</si>
  <si>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</si>
  <si>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</si>
  <si>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</si>
  <si>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</si>
  <si>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</si>
  <si>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</si>
  <si>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</si>
  <si>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</si>
  <si>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</si>
  <si>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</si>
  <si>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</si>
  <si>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</si>
  <si>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</si>
  <si>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</si>
  <si>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</si>
  <si>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</si>
  <si>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</si>
  <si>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</si>
  <si>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</si>
  <si>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</si>
  <si>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</si>
  <si>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</si>
  <si>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</si>
  <si>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</si>
  <si>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</si>
  <si>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</si>
  <si>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</si>
  <si>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</si>
  <si>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</si>
  <si>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</si>
  <si>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</si>
  <si>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</si>
  <si>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</si>
  <si>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</si>
  <si>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</si>
  <si>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</si>
  <si>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</si>
  <si>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</si>
  <si>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</si>
  <si>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</si>
  <si>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</si>
  <si>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</si>
  <si>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</si>
  <si>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</si>
  <si>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</si>
  <si>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</si>
  <si>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</si>
  <si>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</si>
  <si>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</si>
  <si>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</si>
  <si>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</si>
  <si>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</si>
  <si>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</si>
  <si>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</si>
  <si>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</si>
  <si>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</si>
  <si>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</si>
  <si>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</si>
  <si>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</si>
  <si>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</si>
  <si>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</si>
  <si>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</si>
  <si>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</si>
  <si>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</si>
  <si>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</si>
  <si>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</si>
  <si>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</si>
  <si>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</si>
  <si>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</si>
  <si>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</si>
  <si>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</si>
  <si>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</si>
  <si>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</si>
  <si>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</si>
  <si>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</si>
  <si>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</si>
  <si>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</si>
  <si>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</si>
  <si>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</si>
  <si>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</si>
  <si>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</si>
  <si>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</si>
  <si>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</si>
  <si>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</si>
  <si>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</si>
  <si>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</si>
  <si>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</si>
  <si>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</si>
  <si>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</si>
  <si>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</si>
  <si>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</si>
  <si>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</si>
  <si>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</si>
  <si>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</si>
  <si>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</si>
  <si>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</si>
  <si>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</si>
  <si>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</si>
  <si>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</si>
  <si>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</si>
  <si>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</si>
  <si>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</si>
  <si>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</si>
  <si>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</si>
  <si>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</si>
  <si>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</si>
  <si>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</si>
  <si>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</si>
  <si>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</si>
  <si>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</si>
  <si>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</si>
  <si>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</si>
  <si>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</si>
  <si>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</si>
  <si>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</si>
  <si>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</si>
  <si>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</si>
  <si>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</si>
  <si>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</si>
  <si>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</si>
  <si>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</si>
  <si>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</si>
  <si>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</si>
  <si>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</si>
  <si>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</si>
  <si>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</si>
  <si>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</si>
  <si>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</si>
  <si>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</si>
  <si>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</si>
  <si>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</si>
  <si>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</si>
  <si>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</si>
  <si>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</si>
  <si>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</si>
  <si>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</si>
  <si>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</si>
  <si>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</si>
  <si>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</si>
  <si>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</si>
  <si>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</si>
  <si>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</si>
  <si>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</si>
  <si>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</si>
  <si>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</si>
  <si>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</si>
  <si>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</si>
  <si>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</si>
  <si>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</si>
  <si>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</si>
  <si>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</si>
  <si>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</si>
  <si>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</si>
  <si>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</si>
  <si>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</si>
  <si>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</si>
  <si>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</si>
  <si>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</si>
  <si>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</si>
  <si>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</si>
  <si>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</si>
  <si>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</si>
  <si>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</si>
  <si>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</si>
  <si>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</si>
  <si>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</si>
  <si>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</si>
  <si>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</si>
  <si>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</si>
  <si>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</si>
  <si>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</si>
  <si>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</si>
  <si>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</si>
  <si>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</si>
  <si>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</si>
  <si>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</si>
  <si>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</si>
  <si>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</si>
  <si>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</si>
  <si>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</si>
  <si>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</si>
  <si>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</si>
  <si>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</si>
  <si>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</si>
  <si>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</si>
  <si>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</si>
  <si>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</si>
  <si>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</si>
  <si>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</si>
  <si>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</si>
  <si>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</si>
  <si>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</si>
  <si>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</si>
  <si>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</si>
  <si>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</si>
  <si>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</si>
  <si>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</si>
  <si>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</si>
  <si>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</si>
  <si>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</si>
  <si>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</si>
  <si>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</si>
  <si>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</si>
  <si>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</si>
  <si>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</si>
  <si>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</si>
  <si>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</si>
  <si>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</si>
  <si>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</si>
  <si>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</si>
  <si>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</si>
  <si>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</si>
  <si>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</si>
  <si>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</si>
  <si>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</si>
  <si>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</si>
  <si>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</si>
  <si>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</si>
  <si>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</si>
  <si>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</si>
  <si>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</si>
  <si>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</si>
  <si>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</si>
  <si>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</si>
  <si>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</si>
  <si>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</si>
  <si>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</si>
  <si>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</si>
  <si>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</si>
  <si>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</si>
  <si>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</si>
  <si>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</si>
  <si>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</si>
  <si>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</si>
  <si>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</si>
  <si>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</si>
  <si>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</si>
  <si>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</si>
  <si>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</si>
  <si>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</si>
  <si>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</si>
  <si>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</si>
  <si>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</si>
  <si>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</si>
  <si>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</si>
  <si>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</si>
  <si>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</si>
  <si>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</si>
  <si>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</si>
  <si>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</si>
  <si>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</si>
  <si>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</si>
  <si>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</si>
  <si>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</si>
  <si>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</si>
  <si>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</si>
  <si>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</si>
  <si>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</si>
  <si>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</si>
  <si>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</si>
  <si>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</si>
  <si>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</si>
  <si>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</si>
  <si>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</si>
  <si>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</si>
  <si>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</si>
  <si>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</si>
  <si>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</si>
  <si>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</si>
  <si>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</si>
  <si>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</si>
  <si>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</si>
  <si>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</si>
  <si>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</si>
  <si>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</si>
  <si>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</si>
  <si>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</si>
  <si>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</si>
  <si>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</si>
  <si>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</si>
  <si>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</si>
  <si>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</si>
  <si>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</si>
  <si>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</si>
  <si>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</si>
  <si>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</si>
  <si>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</si>
  <si>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</si>
  <si>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</si>
  <si>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</si>
  <si>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</si>
  <si>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</si>
  <si>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</si>
  <si>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</si>
  <si>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</si>
  <si>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</si>
  <si>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</si>
  <si>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</si>
  <si>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</si>
  <si>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</si>
  <si>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</si>
  <si>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</si>
  <si>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</si>
  <si>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</si>
  <si>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</si>
  <si>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</si>
  <si>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</si>
  <si>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</si>
  <si>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</si>
  <si>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</si>
  <si>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</si>
  <si>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</si>
  <si>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</si>
  <si>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</si>
  <si>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</si>
  <si>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</si>
  <si>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</si>
  <si>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</si>
  <si>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</si>
  <si>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</si>
  <si>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</si>
  <si>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</si>
  <si>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</si>
  <si>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</si>
  <si>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</si>
  <si>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</si>
  <si>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</si>
  <si>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</si>
  <si>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</si>
  <si>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</si>
  <si>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</si>
  <si>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</si>
  <si>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</si>
  <si>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</si>
  <si>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</si>
  <si>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</si>
  <si>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</si>
  <si>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</si>
  <si>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</si>
  <si>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</si>
  <si>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</si>
  <si>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</si>
  <si>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</si>
  <si>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</si>
  <si>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</si>
  <si>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</si>
  <si>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</si>
  <si>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</si>
  <si>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</si>
  <si>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</si>
  <si>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</si>
  <si>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</si>
  <si>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</si>
  <si>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</si>
  <si>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</si>
  <si>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</si>
  <si>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</si>
  <si>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</si>
  <si>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</si>
  <si>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</si>
  <si>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</si>
  <si>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</si>
  <si>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</si>
  <si>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</si>
  <si>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</si>
  <si>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</si>
  <si>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</si>
  <si>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</si>
  <si>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</si>
  <si>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</si>
  <si>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</si>
  <si>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</si>
  <si>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</si>
  <si>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</si>
  <si>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</si>
  <si>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</si>
  <si>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</si>
  <si>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</si>
  <si>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</si>
  <si>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</si>
  <si>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</si>
  <si>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</si>
  <si>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</si>
  <si>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</si>
  <si>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</si>
  <si>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</si>
  <si>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</si>
  <si>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</si>
  <si>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</si>
  <si>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</si>
  <si>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</si>
  <si>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</si>
  <si>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</si>
  <si>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</si>
  <si>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</si>
  <si>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</si>
  <si>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</si>
  <si>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</si>
  <si>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</si>
  <si>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</si>
  <si>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</si>
  <si>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</si>
  <si>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</si>
  <si>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</si>
  <si>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</si>
  <si>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</si>
  <si>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</si>
  <si>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</si>
  <si>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</si>
  <si>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</si>
  <si>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</si>
  <si>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</si>
  <si>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</si>
  <si>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</si>
  <si>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</si>
  <si>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</si>
  <si>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</si>
  <si>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</si>
  <si>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</si>
  <si>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</si>
  <si>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</si>
  <si>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</si>
  <si>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</si>
  <si>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</si>
  <si>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</si>
  <si>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</si>
  <si>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</si>
  <si>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</si>
  <si>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</si>
  <si>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</si>
  <si>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</si>
  <si>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</si>
  <si>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</si>
  <si>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</si>
  <si>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</si>
  <si>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</si>
  <si>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</si>
  <si>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</si>
  <si>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</si>
  <si>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</si>
  <si>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</si>
  <si>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</si>
  <si>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</si>
  <si>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</si>
  <si>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</si>
  <si>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</si>
  <si>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</si>
  <si>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</si>
  <si>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</si>
  <si>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</si>
  <si>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</si>
  <si>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</si>
  <si>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</si>
  <si>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</si>
  <si>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</si>
  <si>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</si>
  <si>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</si>
  <si>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</si>
  <si>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</si>
  <si>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</si>
  <si>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</si>
  <si>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</si>
  <si>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</si>
  <si>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</si>
  <si>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</si>
  <si>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</si>
  <si>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</si>
  <si>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</si>
  <si>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</si>
  <si>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</si>
  <si>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</si>
  <si>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</si>
  <si>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</si>
  <si>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</si>
  <si>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</si>
  <si>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</si>
  <si>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</si>
  <si>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</si>
  <si>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</si>
  <si>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</si>
  <si>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</si>
  <si>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</si>
  <si>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</si>
  <si>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</si>
  <si>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</si>
  <si>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</si>
  <si>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</si>
  <si>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</si>
  <si>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</si>
  <si>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</si>
  <si>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</si>
  <si>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</si>
  <si>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</si>
  <si>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</si>
  <si>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</si>
  <si>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</si>
  <si>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</si>
  <si>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</si>
  <si>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</si>
  <si>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</si>
  <si>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</si>
  <si>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</si>
  <si>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</si>
  <si>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</si>
  <si>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</si>
  <si>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</si>
  <si>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</si>
  <si>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</si>
  <si>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</si>
  <si>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</si>
  <si>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</si>
  <si>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</si>
  <si>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</si>
  <si>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</si>
  <si>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</si>
  <si>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</si>
  <si>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</si>
  <si>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</si>
  <si>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</si>
  <si>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</si>
  <si>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</si>
  <si>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</si>
  <si>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</si>
  <si>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</si>
  <si>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</si>
  <si>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</si>
  <si>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</si>
  <si>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</si>
  <si>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</si>
  <si>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</si>
  <si>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</si>
  <si>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</si>
  <si>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</si>
  <si>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</si>
  <si>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</si>
  <si>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</si>
  <si>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</si>
  <si>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</si>
  <si>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</si>
  <si>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</si>
  <si>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</si>
  <si>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</si>
  <si>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</si>
  <si>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</si>
  <si>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</si>
  <si>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</si>
  <si>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</si>
  <si>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</si>
  <si>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</si>
  <si>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</si>
  <si>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</si>
  <si>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</si>
  <si>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</si>
  <si>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</si>
  <si>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</si>
  <si>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</si>
  <si>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</si>
  <si>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</si>
  <si>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</si>
  <si>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</si>
  <si>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</si>
  <si>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</si>
  <si>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</si>
  <si>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</si>
  <si>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</si>
  <si>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</si>
  <si>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</si>
  <si>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</si>
  <si>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</si>
  <si>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</si>
  <si>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</si>
  <si>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</si>
  <si>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</si>
  <si>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</si>
  <si>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</si>
  <si>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</si>
  <si>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</si>
  <si>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</si>
  <si>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</si>
  <si>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</si>
  <si>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</si>
  <si>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</si>
  <si>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</si>
  <si>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</si>
  <si>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</si>
  <si>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</si>
  <si>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</si>
  <si>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</si>
  <si>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</si>
  <si>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</si>
  <si>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</si>
  <si>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</si>
  <si>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</si>
  <si>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</si>
  <si>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</si>
  <si>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</si>
  <si>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</si>
  <si>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</si>
  <si>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</si>
  <si>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</si>
  <si>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</si>
  <si>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</si>
  <si>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</si>
  <si>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</si>
  <si>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</si>
  <si>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</si>
  <si>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</si>
  <si>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</si>
  <si>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</si>
  <si>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</si>
  <si>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</si>
  <si>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</si>
  <si>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</si>
  <si>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</si>
  <si>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</si>
  <si>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</si>
  <si>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</si>
  <si>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</si>
  <si>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</si>
  <si>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</si>
  <si>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</si>
  <si>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</si>
  <si>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</si>
  <si>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</si>
  <si>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</si>
  <si>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</si>
  <si>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</si>
  <si>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</si>
  <si>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</si>
  <si>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</si>
  <si>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</si>
  <si>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</si>
  <si>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</si>
  <si>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</si>
  <si>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</si>
  <si>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</si>
  <si>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</si>
  <si>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</si>
  <si>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</si>
  <si>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</si>
  <si>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</si>
  <si>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</si>
  <si>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</si>
  <si>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</si>
  <si>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</si>
  <si>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</si>
  <si>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</si>
  <si>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</si>
  <si>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</si>
  <si>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</si>
  <si>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</si>
  <si>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</si>
  <si>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</si>
  <si>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</si>
  <si>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</si>
  <si>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</si>
  <si>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</si>
  <si>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</si>
  <si>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</si>
  <si>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</si>
  <si>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</si>
  <si>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</si>
  <si>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</si>
  <si>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</si>
  <si>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</si>
  <si>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</si>
  <si>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</si>
  <si>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</si>
  <si>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</si>
  <si>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</si>
  <si>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</si>
  <si>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</si>
  <si>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</si>
  <si>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</si>
  <si>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</si>
  <si>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</si>
  <si>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</si>
  <si>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</si>
  <si>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</si>
  <si>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</si>
  <si>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</si>
  <si>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</si>
  <si>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</si>
  <si>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</si>
  <si>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</si>
  <si>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</si>
  <si>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</si>
  <si>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</si>
  <si>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</si>
  <si>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</si>
  <si>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</si>
  <si>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</si>
  <si>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</si>
  <si>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</si>
  <si>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</si>
  <si>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</si>
  <si>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</si>
  <si>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</si>
  <si>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</si>
  <si>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</si>
  <si>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</si>
  <si>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</si>
  <si>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</si>
  <si>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</si>
  <si>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</si>
  <si>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</si>
  <si>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</si>
  <si>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</si>
  <si>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</si>
  <si>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</si>
  <si>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</si>
  <si>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</si>
  <si>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</si>
  <si>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</si>
  <si>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</si>
  <si>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</si>
  <si>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</si>
  <si>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</si>
  <si>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</si>
  <si>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</si>
  <si>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</si>
  <si>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</si>
  <si>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</si>
  <si>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</si>
  <si>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</si>
  <si>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</si>
  <si>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</si>
  <si>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</si>
  <si>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</si>
  <si>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</si>
  <si>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</si>
  <si>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</si>
  <si>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</si>
  <si>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</si>
  <si>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</si>
  <si>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</si>
  <si>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</si>
  <si>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</si>
  <si>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</si>
  <si>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</si>
  <si>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</si>
  <si>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</si>
  <si>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</si>
  <si>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</si>
  <si>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</si>
  <si>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</si>
  <si>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</si>
  <si>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</si>
  <si>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</si>
  <si>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</si>
  <si>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</si>
  <si>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</si>
  <si>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</si>
  <si>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</si>
  <si>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</si>
  <si>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</si>
  <si>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</si>
  <si>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</si>
  <si>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</si>
  <si>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</si>
  <si>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</si>
  <si>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</si>
  <si>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</si>
  <si>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</si>
  <si>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</si>
  <si>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</si>
  <si>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</si>
  <si>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</si>
  <si>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</si>
  <si>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</si>
  <si>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</si>
  <si>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</si>
  <si>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</si>
  <si>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</si>
  <si>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</si>
  <si>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</si>
  <si>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</si>
  <si>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</si>
  <si>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</si>
  <si>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</si>
  <si>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</si>
  <si>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</si>
  <si>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</si>
  <si>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</si>
  <si>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</si>
  <si>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</si>
  <si>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</si>
  <si>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</si>
  <si>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</si>
  <si>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</si>
  <si>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</si>
  <si>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</si>
  <si>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</si>
  <si>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</si>
  <si>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</si>
  <si>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</si>
  <si>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</si>
  <si>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</si>
  <si>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</si>
  <si>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</si>
  <si>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</si>
  <si>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</si>
  <si>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</si>
  <si>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</si>
  <si>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</si>
  <si>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</si>
  <si>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</si>
  <si>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</si>
  <si>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</si>
  <si>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</si>
  <si>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</si>
  <si>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</si>
  <si>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</si>
  <si>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</si>
  <si>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</si>
  <si>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</si>
  <si>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</si>
  <si>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</si>
  <si>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</si>
  <si>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</si>
  <si>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</si>
  <si>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</si>
  <si>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</si>
  <si>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</si>
  <si>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</si>
  <si>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</si>
  <si>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</si>
  <si>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</si>
  <si>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</si>
  <si>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</si>
  <si>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</si>
  <si>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</si>
  <si>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</si>
  <si>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</si>
  <si>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</si>
  <si>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</si>
  <si>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</si>
  <si>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</si>
  <si>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</si>
  <si>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</si>
  <si>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</si>
  <si>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</si>
  <si>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</si>
  <si>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</si>
  <si>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</si>
  <si>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</si>
  <si>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</si>
  <si>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</si>
  <si>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</si>
  <si>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</si>
  <si>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</si>
  <si>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</si>
  <si>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</si>
  <si>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</si>
  <si>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</si>
  <si>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</si>
  <si>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</si>
  <si>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</si>
  <si>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</si>
  <si>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</si>
  <si>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</si>
  <si>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</si>
  <si>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</si>
  <si>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</si>
  <si>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</si>
  <si>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</si>
  <si>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</si>
  <si>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</si>
  <si>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</si>
  <si>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</si>
  <si>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</si>
  <si>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</si>
  <si>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</si>
  <si>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</si>
  <si>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</si>
  <si>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</si>
  <si>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</si>
  <si>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</si>
  <si>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</si>
  <si>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</si>
  <si>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</si>
  <si>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</si>
  <si>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</si>
  <si>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</si>
  <si>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</si>
  <si>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</si>
  <si>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</si>
  <si>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</si>
  <si>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</si>
  <si>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</si>
  <si>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</si>
  <si>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</si>
  <si>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</si>
  <si>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</si>
  <si>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</si>
  <si>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</si>
  <si>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</si>
  <si>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</si>
  <si>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</si>
  <si>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</si>
  <si>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</si>
  <si>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</si>
  <si>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</si>
  <si>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</si>
  <si>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</si>
  <si>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</si>
  <si>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</si>
  <si>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</si>
  <si>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</si>
  <si>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</si>
  <si>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</si>
  <si>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</si>
  <si>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</si>
  <si>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</si>
  <si>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</si>
  <si>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</si>
  <si>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</si>
  <si>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</si>
  <si>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</si>
  <si>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</si>
  <si>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</si>
  <si>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</si>
  <si>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</si>
  <si>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</si>
  <si>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</si>
  <si>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</si>
  <si>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</si>
  <si>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</si>
  <si>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</si>
  <si>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</si>
  <si>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</si>
  <si>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</si>
  <si>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</si>
  <si>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</si>
  <si>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</si>
  <si>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</si>
  <si>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</si>
  <si>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</si>
  <si>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</si>
  <si>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</si>
  <si>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</si>
  <si>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</si>
  <si>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</si>
  <si>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</si>
  <si>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</si>
  <si>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</si>
  <si>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</si>
  <si>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</si>
  <si>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</si>
  <si>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</si>
  <si>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</si>
  <si>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</si>
  <si>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</si>
  <si>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</si>
  <si>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</si>
  <si>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</si>
  <si>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</si>
  <si>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</si>
  <si>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</si>
  <si>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</si>
  <si>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</si>
  <si>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</si>
  <si>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</si>
  <si>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</si>
  <si>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</si>
  <si>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</si>
  <si>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</si>
  <si>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</si>
  <si>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</si>
  <si>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</si>
  <si>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</si>
  <si>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</si>
  <si>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</si>
  <si>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</si>
  <si>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</si>
  <si>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</si>
  <si>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</si>
  <si>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</si>
  <si>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</si>
  <si>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</si>
  <si>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</si>
  <si>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</si>
  <si>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</si>
  <si>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</si>
  <si>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</si>
  <si>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</si>
  <si>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</si>
  <si>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</si>
  <si>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</si>
  <si>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</si>
  <si>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</si>
  <si>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</si>
  <si>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</si>
  <si>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</si>
  <si>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</si>
  <si>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</si>
  <si>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</si>
  <si>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</si>
  <si>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</si>
  <si>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</si>
  <si>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</si>
  <si>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</si>
  <si>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</si>
  <si>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</si>
  <si>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</si>
  <si>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</si>
  <si>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</si>
  <si>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</si>
  <si>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</si>
  <si>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</si>
  <si>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</si>
  <si>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</si>
  <si>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</si>
  <si>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</si>
  <si>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</si>
  <si>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</si>
  <si>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</si>
  <si>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</si>
  <si>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</si>
  <si>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</si>
  <si>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</si>
  <si>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</si>
  <si>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</si>
  <si>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</si>
  <si>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</si>
  <si>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</si>
  <si>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</si>
  <si>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</si>
  <si>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</si>
  <si>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</si>
  <si>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</si>
  <si>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</si>
  <si>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</si>
  <si>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</si>
  <si>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</si>
  <si>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</si>
  <si>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</si>
  <si>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</si>
  <si>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</si>
  <si>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</si>
  <si>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</si>
  <si>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</si>
  <si>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</si>
  <si>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</si>
  <si>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</si>
  <si>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</si>
  <si>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</si>
  <si>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</si>
  <si>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</si>
  <si>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</si>
  <si>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</si>
  <si>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</si>
  <si>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</si>
  <si>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</si>
  <si>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</si>
  <si>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</si>
  <si>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</si>
  <si>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</si>
  <si>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</si>
  <si>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</si>
  <si>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</si>
  <si>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</si>
  <si>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</si>
  <si>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</si>
  <si>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</si>
  <si>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</si>
  <si>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</si>
  <si>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</si>
  <si>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</si>
  <si>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</si>
  <si>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</si>
  <si>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</si>
  <si>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</si>
  <si>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</si>
  <si>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</si>
  <si>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</si>
  <si>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</si>
  <si>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</si>
  <si>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</si>
  <si>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</si>
  <si>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</si>
  <si>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</si>
  <si>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</si>
  <si>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</si>
  <si>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</si>
  <si>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</si>
  <si>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</si>
  <si>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</si>
  <si>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</si>
  <si>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</si>
  <si>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</si>
  <si>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</si>
  <si>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</si>
  <si>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</si>
  <si>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</si>
  <si>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</si>
  <si>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</si>
  <si>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</si>
  <si>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</si>
  <si>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</si>
  <si>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</si>
  <si>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</si>
  <si>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</si>
  <si>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</si>
  <si>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</si>
  <si>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</si>
  <si>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</si>
  <si>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</si>
  <si>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</si>
  <si>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</si>
  <si>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</si>
  <si>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</si>
  <si>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</si>
  <si>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</si>
  <si>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</si>
  <si>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</si>
  <si>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</si>
  <si>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</si>
  <si>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</si>
  <si>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</si>
  <si>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</si>
  <si>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</si>
  <si>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</si>
  <si>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</si>
  <si>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</si>
  <si>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</si>
  <si>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</si>
  <si>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</si>
  <si>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</si>
  <si>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</si>
  <si>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</si>
  <si>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</si>
  <si>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</si>
  <si>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</si>
  <si>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</si>
  <si>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</si>
  <si>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</si>
  <si>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</si>
  <si>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</si>
  <si>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</si>
  <si>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</si>
  <si>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</si>
  <si>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</si>
  <si>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</si>
  <si>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</si>
  <si>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</si>
  <si>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</si>
  <si>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</si>
  <si>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</si>
  <si>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</si>
  <si>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</si>
  <si>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</si>
  <si>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</si>
  <si>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</si>
  <si>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</si>
  <si>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</si>
  <si>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</si>
  <si>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</si>
  <si>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</si>
  <si>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</si>
  <si>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</si>
  <si>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</si>
  <si>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</si>
  <si>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</si>
  <si>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</si>
  <si>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</si>
  <si>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</si>
  <si>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</si>
  <si>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</si>
  <si>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</si>
  <si>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</si>
  <si>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</si>
  <si>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</si>
  <si>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</si>
  <si>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</si>
  <si>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</si>
  <si>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</si>
  <si>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</si>
  <si>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</si>
  <si>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</si>
  <si>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</si>
  <si>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</si>
  <si>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</si>
  <si>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</si>
  <si>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</si>
  <si>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</si>
  <si>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</si>
  <si>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</si>
  <si>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</si>
  <si>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</si>
  <si>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</si>
  <si>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</si>
  <si>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</si>
  <si>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</si>
  <si>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</si>
  <si>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</si>
  <si>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</si>
  <si>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</si>
  <si>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</si>
  <si>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</si>
  <si>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</si>
  <si>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</si>
  <si>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</si>
  <si>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</si>
  <si>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</si>
  <si>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</si>
  <si>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</si>
  <si>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</si>
  <si>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</si>
  <si>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</si>
  <si>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</si>
  <si>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</si>
  <si>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</si>
  <si>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</si>
  <si>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</si>
  <si>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</si>
  <si>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</si>
  <si>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</si>
  <si>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</si>
  <si>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</si>
  <si>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</si>
  <si>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</si>
  <si>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</si>
  <si>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</si>
  <si>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</si>
  <si>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</si>
  <si>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</si>
  <si>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</si>
  <si>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</si>
  <si>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</si>
  <si>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</si>
  <si>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</si>
  <si>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</si>
  <si>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</si>
  <si>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</si>
  <si>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</si>
  <si>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</si>
  <si>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</si>
  <si>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</si>
  <si>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</si>
  <si>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</si>
  <si>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</si>
  <si>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</si>
  <si>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</si>
  <si>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</si>
  <si>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</si>
  <si>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</si>
  <si>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</si>
  <si>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</si>
  <si>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</si>
  <si>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</si>
  <si>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</si>
  <si>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</si>
  <si>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</si>
  <si>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</si>
  <si>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</si>
  <si>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</si>
  <si>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</si>
  <si>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</si>
  <si>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</si>
  <si>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</si>
  <si>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</si>
  <si>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</si>
  <si>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</si>
  <si>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</si>
  <si>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</si>
  <si>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</si>
  <si>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</si>
  <si>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</si>
  <si>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</si>
  <si>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</si>
  <si>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</si>
  <si>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</si>
  <si>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</si>
  <si>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</si>
  <si>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</si>
  <si>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</si>
  <si>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</si>
  <si>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</si>
  <si>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</si>
  <si>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</si>
  <si>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</si>
  <si>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</si>
  <si>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</si>
  <si>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</si>
  <si>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</si>
  <si>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</si>
  <si>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</si>
  <si>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</si>
  <si>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</si>
  <si>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</si>
  <si>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</si>
  <si>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</si>
  <si>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</si>
  <si>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</si>
  <si>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</si>
  <si>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</si>
  <si>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</si>
  <si>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</si>
  <si>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</si>
  <si>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</si>
  <si>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</si>
  <si>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</si>
  <si>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</si>
  <si>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</si>
  <si>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</si>
  <si>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</si>
  <si>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</si>
  <si>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</si>
  <si>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</si>
  <si>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</si>
  <si>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</si>
  <si>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</si>
  <si>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</si>
  <si>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</si>
  <si>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</si>
  <si>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</si>
  <si>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</si>
  <si>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</si>
  <si>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</si>
  <si>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</si>
  <si>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</si>
  <si>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</si>
  <si>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</si>
  <si>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</si>
  <si>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</si>
  <si>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</si>
  <si>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</si>
  <si>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</si>
  <si>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</si>
  <si>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</si>
  <si>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</si>
  <si>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</si>
  <si>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</si>
  <si>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</si>
  <si>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</si>
  <si>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</si>
  <si>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</si>
  <si>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</si>
  <si>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</si>
  <si>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</si>
  <si>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</si>
  <si>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</si>
  <si>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</si>
  <si>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</si>
  <si>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</si>
  <si>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</si>
  <si>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</si>
  <si>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</si>
  <si>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</si>
  <si>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</si>
  <si>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</si>
  <si>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</si>
  <si>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</si>
  <si>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</si>
  <si>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</si>
  <si>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</si>
  <si>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</si>
  <si>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</si>
  <si>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</si>
  <si>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</si>
  <si>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</si>
  <si>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</si>
  <si>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</si>
  <si>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</si>
  <si>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</si>
  <si>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</si>
  <si>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</si>
  <si>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</si>
  <si>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</si>
  <si>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</si>
  <si>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</si>
  <si>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</si>
  <si>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</si>
  <si>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</si>
  <si>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</si>
  <si>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</si>
  <si>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</si>
  <si>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</si>
  <si>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</si>
  <si>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</si>
  <si>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</si>
  <si>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</si>
  <si>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</si>
  <si>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</si>
  <si>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</si>
  <si>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</si>
  <si>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</si>
  <si>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</si>
  <si>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</si>
  <si>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</si>
  <si>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</si>
  <si>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</si>
  <si>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</si>
  <si>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</si>
  <si>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</si>
  <si>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</si>
  <si>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</si>
  <si>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</si>
  <si>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</si>
  <si>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</si>
  <si>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</si>
  <si>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</si>
  <si>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</si>
  <si>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</si>
  <si>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</si>
  <si>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</si>
  <si>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</si>
  <si>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</si>
  <si>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</si>
  <si>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</si>
  <si>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</si>
  <si>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</si>
  <si>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</si>
  <si>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</si>
  <si>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</si>
  <si>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</si>
  <si>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</si>
  <si>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</si>
  <si>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</si>
  <si>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</si>
  <si>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</si>
  <si>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</si>
  <si>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</si>
  <si>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</si>
  <si>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</si>
  <si>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</si>
  <si>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</si>
  <si>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</si>
  <si>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</si>
  <si>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</si>
  <si>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</si>
  <si>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</si>
  <si>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</si>
  <si>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</si>
  <si>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</si>
  <si>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</si>
  <si>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</si>
  <si>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</si>
  <si>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</si>
  <si>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</si>
  <si>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</si>
  <si>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</si>
  <si>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</si>
  <si>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</si>
  <si>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</si>
  <si>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</si>
  <si>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</si>
  <si>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</si>
  <si>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</si>
  <si>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</si>
  <si>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</si>
  <si>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</si>
  <si>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</si>
  <si>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</si>
  <si>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</si>
  <si>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</si>
  <si>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</si>
  <si>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</si>
  <si>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</si>
  <si>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</si>
  <si>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</si>
  <si>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</si>
  <si>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</si>
  <si>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</si>
  <si>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</si>
  <si>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</si>
  <si>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</si>
  <si>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</si>
  <si>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</si>
  <si>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</si>
  <si>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</si>
  <si>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</si>
  <si>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</si>
  <si>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</si>
  <si>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</si>
  <si>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</si>
  <si>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</si>
  <si>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</si>
  <si>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</si>
  <si>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</si>
  <si>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</si>
  <si>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</si>
  <si>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</si>
  <si>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</si>
  <si>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</si>
  <si>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</si>
  <si>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</si>
  <si>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</si>
  <si>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</si>
  <si>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</si>
  <si>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</si>
  <si>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</si>
  <si>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</si>
  <si>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</si>
  <si>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</si>
  <si>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</si>
  <si>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</si>
  <si>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</si>
  <si>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</si>
  <si>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</si>
  <si>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</si>
  <si>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</si>
  <si>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</si>
  <si>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</si>
  <si>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</si>
  <si>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</si>
  <si>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</si>
  <si>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</si>
  <si>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</si>
  <si>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</si>
  <si>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</si>
  <si>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</si>
  <si>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</si>
  <si>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</si>
  <si>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</si>
  <si>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</si>
  <si>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</si>
  <si>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</si>
  <si>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</si>
  <si>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</si>
  <si>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</si>
  <si>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</si>
  <si>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</si>
  <si>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</si>
  <si>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</si>
  <si>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</si>
  <si>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</si>
  <si>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</si>
  <si>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</si>
  <si>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</si>
  <si>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</si>
  <si>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</si>
  <si>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</si>
  <si>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</si>
  <si>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</si>
  <si>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</si>
  <si>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</si>
  <si>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</si>
  <si>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</si>
  <si>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</si>
  <si>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</si>
  <si>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</si>
  <si>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</si>
  <si>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</si>
  <si>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</si>
  <si>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</si>
  <si>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</si>
  <si>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</si>
  <si>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</si>
  <si>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</si>
  <si>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</si>
  <si>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</si>
  <si>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</si>
  <si>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</si>
  <si>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</si>
  <si>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</si>
  <si>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</si>
  <si>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</si>
  <si>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</si>
  <si>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</si>
  <si>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</si>
  <si>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</si>
  <si>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</si>
  <si>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</si>
  <si>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</si>
  <si>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</si>
  <si>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</si>
  <si>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</si>
  <si>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</si>
  <si>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</si>
  <si>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</si>
  <si>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</si>
  <si>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</si>
  <si>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</si>
  <si>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</si>
  <si>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</si>
  <si>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</si>
  <si>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</si>
  <si>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</si>
  <si>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</si>
  <si>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</si>
  <si>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</si>
  <si>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</si>
  <si>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</si>
  <si>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</si>
  <si>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</si>
  <si>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</si>
  <si>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</si>
  <si>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</si>
  <si>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</si>
  <si>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</si>
  <si>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</si>
  <si>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</si>
  <si>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</si>
  <si>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</si>
  <si>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</si>
  <si>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</si>
  <si>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</si>
  <si>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</si>
  <si>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</si>
  <si>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</si>
  <si>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</si>
  <si>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</si>
  <si>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</si>
  <si>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</si>
  <si>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</si>
  <si>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</si>
  <si>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</si>
  <si>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</si>
  <si>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</si>
  <si>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</si>
  <si>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</si>
  <si>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</si>
  <si>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</si>
  <si>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</si>
  <si>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</si>
  <si>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</si>
  <si>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</si>
  <si>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</si>
  <si>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</si>
  <si>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</si>
  <si>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</si>
  <si>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</si>
  <si>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</si>
  <si>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</si>
  <si>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</si>
  <si>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</si>
  <si>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</si>
  <si>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</si>
  <si>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</si>
  <si>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</si>
  <si>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</si>
  <si>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</si>
  <si>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</si>
  <si>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</si>
  <si>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</si>
  <si>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</si>
  <si>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</si>
  <si>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</si>
  <si>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</si>
  <si>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</si>
  <si>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</si>
  <si>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</si>
  <si>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</si>
  <si>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</si>
  <si>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</si>
  <si>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</si>
  <si>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</si>
  <si>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</si>
  <si>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</si>
  <si>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</si>
  <si>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</si>
  <si>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</si>
  <si>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</si>
  <si>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</si>
  <si>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</si>
  <si>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</si>
  <si>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</si>
  <si>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</si>
  <si>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</si>
  <si>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</si>
  <si>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</si>
  <si>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</si>
  <si>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</si>
  <si>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</si>
  <si>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</si>
  <si>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</si>
  <si>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</si>
  <si>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</si>
  <si>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</si>
  <si>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</si>
  <si>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</si>
  <si>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</si>
  <si>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</si>
  <si>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</si>
  <si>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</si>
  <si>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</si>
  <si>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</si>
  <si>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</si>
  <si>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</si>
  <si>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</si>
  <si>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</si>
  <si>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</si>
  <si>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</si>
  <si>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</si>
  <si>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</si>
  <si>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</si>
  <si>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</si>
  <si>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</si>
  <si>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</si>
  <si>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</si>
  <si>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</si>
  <si>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</si>
  <si>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</si>
  <si>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</si>
  <si>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</si>
  <si>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</si>
  <si>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</si>
  <si>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</si>
  <si>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</si>
  <si>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</si>
  <si>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</si>
  <si>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</si>
  <si>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</si>
  <si>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</si>
  <si>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</si>
  <si>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</si>
  <si>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</si>
  <si>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</si>
  <si>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</si>
  <si>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</si>
  <si>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</si>
  <si>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</si>
  <si>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</si>
  <si>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</si>
  <si>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</si>
  <si>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</si>
  <si>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</si>
  <si>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</si>
  <si>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</si>
  <si>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</si>
  <si>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</si>
  <si>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</si>
  <si>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</si>
  <si>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</si>
  <si>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</si>
  <si>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</si>
  <si>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</si>
  <si>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</si>
  <si>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</si>
  <si>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</si>
  <si>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</si>
  <si>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</si>
  <si>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</si>
  <si>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</si>
  <si>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</si>
  <si>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</si>
  <si>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</si>
  <si>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</si>
  <si>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</si>
  <si>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</si>
  <si>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</si>
  <si>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</si>
  <si>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</si>
  <si>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</si>
  <si>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</si>
  <si>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</si>
  <si>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</si>
  <si>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</si>
  <si>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</si>
  <si>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</si>
  <si>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</si>
  <si>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</si>
  <si>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</si>
  <si>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</si>
  <si>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</si>
  <si>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</si>
  <si>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</si>
  <si>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</si>
  <si>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</si>
  <si>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</si>
  <si>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</si>
  <si>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</si>
  <si>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</si>
  <si>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</si>
  <si>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</si>
  <si>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</si>
  <si>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</si>
  <si>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</si>
  <si>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</si>
  <si>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</si>
  <si>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</si>
  <si>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</si>
  <si>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</si>
  <si>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</si>
  <si>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</si>
  <si>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</si>
  <si>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</si>
  <si>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</si>
  <si>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</si>
  <si>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</si>
  <si>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</si>
  <si>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</si>
  <si>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</si>
  <si>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</si>
  <si>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</si>
  <si>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</si>
  <si>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</si>
  <si>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</si>
  <si>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</si>
  <si>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</si>
  <si>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</si>
  <si>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</si>
  <si>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</si>
  <si>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</si>
  <si>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</si>
  <si>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</si>
  <si>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</si>
  <si>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</si>
  <si>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</si>
  <si>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</si>
  <si>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</si>
  <si>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</si>
  <si>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</si>
  <si>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</si>
  <si>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</si>
  <si>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</si>
  <si>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</si>
  <si>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</si>
  <si>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</si>
  <si>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</si>
  <si>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</si>
  <si>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</si>
  <si>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</si>
  <si>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</si>
  <si>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</si>
  <si>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</si>
  <si>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</si>
  <si>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</si>
  <si>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</si>
  <si>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</si>
  <si>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</si>
  <si>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</si>
  <si>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</si>
  <si>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</si>
  <si>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</si>
  <si>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</si>
  <si>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</si>
  <si>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</si>
  <si>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</si>
  <si>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</si>
  <si>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</si>
  <si>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</si>
  <si>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</si>
  <si>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</si>
  <si>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</si>
  <si>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</si>
  <si>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</si>
  <si>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</si>
  <si>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</si>
  <si>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</si>
  <si>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</si>
  <si>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</si>
  <si>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</si>
  <si>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</si>
  <si>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</si>
  <si>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</si>
  <si>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</si>
  <si>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</si>
  <si>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</si>
  <si>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</si>
  <si>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</si>
  <si>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</si>
  <si>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</si>
  <si>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</si>
  <si>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</si>
  <si>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</si>
  <si>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</si>
  <si>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</si>
  <si>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</si>
  <si>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</si>
  <si>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</si>
  <si>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</si>
  <si>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</si>
  <si>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</si>
  <si>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</si>
  <si>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</si>
  <si>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</si>
  <si>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</si>
  <si>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</si>
  <si>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</si>
  <si>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</si>
  <si>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</si>
  <si>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</si>
  <si>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</si>
  <si>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</si>
  <si>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</si>
  <si>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</si>
  <si>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</si>
  <si>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</si>
  <si>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</si>
  <si>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</si>
  <si>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</si>
  <si>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</si>
  <si>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</si>
  <si>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</si>
  <si>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</si>
  <si>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</si>
  <si>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</si>
  <si>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</si>
  <si>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</si>
  <si>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</si>
  <si>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</si>
  <si>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</si>
  <si>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</si>
  <si>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</si>
  <si>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</si>
  <si>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</si>
  <si>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</si>
  <si>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</si>
  <si>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</si>
  <si>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</si>
  <si>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</si>
  <si>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</si>
  <si>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</si>
  <si>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</si>
  <si>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</si>
  <si>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</si>
  <si>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</si>
  <si>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</si>
  <si>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</si>
  <si>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</si>
  <si>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</si>
  <si>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</si>
  <si>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</si>
  <si>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</si>
  <si>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</si>
  <si>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</si>
  <si>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</si>
  <si>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</si>
  <si>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</si>
  <si>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</si>
  <si>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</si>
  <si>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</si>
  <si>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</si>
  <si>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</si>
  <si>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</si>
  <si>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</si>
  <si>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</si>
  <si>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</si>
  <si>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</si>
  <si>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</si>
  <si>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</si>
  <si>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</si>
  <si>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</si>
  <si>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</si>
  <si>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</si>
  <si>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</si>
  <si>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</si>
  <si>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</si>
  <si>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</si>
  <si>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</si>
  <si>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</si>
  <si>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</si>
  <si>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</si>
  <si>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</si>
  <si>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</si>
  <si>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</si>
  <si>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</si>
  <si>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</si>
  <si>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</si>
  <si>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</si>
  <si>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</si>
  <si>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</si>
  <si>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</si>
  <si>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</si>
  <si>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</si>
  <si>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</si>
  <si>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</si>
  <si>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</si>
  <si>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</si>
  <si>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</si>
  <si>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</si>
  <si>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</si>
  <si>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</si>
  <si>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</si>
  <si>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</si>
  <si>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</si>
  <si>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</si>
  <si>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</si>
  <si>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</si>
  <si>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</si>
  <si>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</si>
  <si>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</si>
  <si>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</si>
  <si>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</si>
  <si>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</si>
  <si>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</si>
  <si>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</si>
  <si>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</si>
  <si>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</si>
  <si>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</si>
  <si>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</si>
  <si>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</si>
  <si>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</si>
  <si>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</si>
  <si>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</si>
  <si>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</si>
  <si>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</si>
  <si>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</si>
  <si>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</si>
  <si>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</si>
  <si>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</si>
  <si>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</si>
  <si>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</si>
  <si>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</si>
  <si>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</si>
  <si>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</si>
  <si>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</si>
  <si>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</si>
  <si>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</si>
  <si>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</si>
  <si>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</si>
  <si>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</si>
  <si>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</si>
  <si>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</si>
  <si>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</si>
  <si>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</si>
  <si>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</si>
  <si>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</si>
  <si>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</si>
  <si>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</si>
  <si>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</si>
  <si>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</si>
  <si>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</si>
  <si>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</si>
  <si>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</si>
  <si>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</si>
  <si>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</si>
  <si>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</si>
  <si>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</si>
  <si>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</si>
  <si>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</si>
  <si>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</si>
  <si>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</si>
  <si>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</si>
  <si>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</si>
  <si>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</si>
  <si>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</si>
  <si>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</si>
  <si>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</si>
  <si>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</si>
  <si>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</si>
  <si>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</si>
  <si>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</si>
  <si>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</si>
  <si>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</si>
  <si>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</si>
  <si>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</si>
  <si>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</si>
  <si>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</si>
  <si>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</si>
  <si>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</si>
  <si>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</si>
  <si>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</si>
  <si>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</si>
  <si>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</si>
  <si>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</si>
  <si>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</si>
  <si>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</si>
  <si>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</si>
  <si>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</si>
  <si>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</si>
  <si>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</si>
  <si>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</si>
  <si>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</si>
  <si>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</si>
  <si>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</si>
  <si>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</si>
  <si>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</si>
  <si>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</si>
  <si>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</si>
  <si>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</si>
  <si>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</si>
  <si>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</si>
  <si>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</si>
  <si>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</si>
  <si>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</si>
  <si>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</si>
  <si>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</si>
  <si>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</si>
  <si>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</si>
  <si>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</si>
  <si>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</si>
  <si>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</si>
  <si>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</si>
  <si>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</si>
  <si>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</si>
  <si>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</si>
  <si>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</si>
  <si>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</si>
  <si>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</si>
  <si>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</si>
  <si>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</si>
  <si>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</si>
  <si>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</si>
  <si>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</si>
  <si>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</si>
  <si>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</si>
  <si>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</si>
  <si>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</si>
  <si>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</si>
  <si>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</si>
  <si>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</si>
  <si>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</si>
  <si>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</si>
  <si>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</si>
  <si>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</si>
  <si>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</si>
  <si>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</si>
  <si>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</si>
  <si>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</si>
  <si>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</si>
  <si>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</si>
  <si>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</si>
  <si>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</si>
  <si>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</si>
  <si>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</si>
  <si>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</si>
  <si>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</si>
  <si>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</si>
  <si>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</si>
  <si>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</si>
  <si>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</si>
  <si>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</si>
  <si>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</si>
  <si>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</si>
  <si>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</si>
  <si>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</si>
  <si>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</si>
  <si>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</si>
  <si>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</si>
  <si>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</si>
  <si>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</si>
  <si>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</si>
  <si>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</si>
  <si>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</si>
  <si>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</si>
  <si>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</si>
  <si>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</si>
  <si>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</si>
  <si>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</si>
  <si>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</si>
  <si>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</si>
  <si>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</si>
  <si>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</si>
  <si>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</si>
  <si>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</si>
  <si>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</si>
  <si>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</si>
  <si>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</si>
  <si>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</si>
  <si>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</si>
  <si>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</si>
  <si>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</si>
  <si>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</si>
  <si>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</si>
  <si>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</si>
  <si>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</si>
  <si>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</si>
  <si>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</si>
  <si>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</si>
  <si>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</si>
  <si>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</si>
  <si>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</si>
  <si>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</si>
  <si>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</si>
  <si>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</si>
  <si>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</si>
  <si>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</si>
  <si>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</si>
  <si>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</si>
  <si>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</si>
  <si>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</si>
  <si>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</si>
  <si>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</si>
  <si>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</si>
  <si>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</si>
  <si>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</si>
  <si>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</si>
  <si>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</si>
  <si>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</si>
  <si>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</si>
  <si>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</si>
  <si>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</si>
  <si>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</si>
  <si>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</si>
  <si>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</si>
  <si>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</si>
  <si>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</si>
  <si>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</si>
  <si>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</si>
  <si>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</si>
  <si>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</si>
  <si>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</si>
  <si>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</si>
  <si>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</si>
  <si>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</si>
  <si>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</si>
  <si>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</si>
  <si>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</si>
  <si>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</si>
  <si>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</si>
  <si>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</si>
  <si>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</si>
  <si>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</si>
  <si>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</si>
  <si>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</si>
  <si>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</si>
  <si>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</si>
  <si>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</si>
  <si>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</si>
  <si>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</si>
  <si>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</si>
  <si>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</si>
  <si>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</si>
  <si>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</si>
  <si>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</si>
  <si>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</si>
  <si>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</si>
  <si>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</si>
  <si>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</si>
  <si>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</si>
  <si>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</si>
  <si>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</si>
  <si>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</si>
  <si>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</si>
  <si>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</si>
  <si>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</si>
  <si>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</si>
  <si>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</si>
  <si>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</si>
  <si>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</si>
  <si>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</si>
  <si>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</si>
  <si>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</si>
  <si>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</si>
  <si>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</si>
  <si>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</si>
  <si>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</si>
  <si>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</si>
  <si>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</si>
  <si>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</si>
  <si>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</si>
  <si>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</si>
  <si>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</si>
  <si>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</si>
  <si>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</si>
  <si>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</si>
  <si>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</si>
  <si>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</si>
  <si>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</si>
  <si>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</si>
  <si>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</si>
  <si>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</si>
  <si>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</si>
  <si>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</si>
  <si>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</si>
  <si>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</si>
  <si>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</si>
  <si>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</si>
  <si>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</si>
  <si>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</si>
  <si>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</si>
  <si>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</si>
  <si>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</si>
  <si>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</si>
  <si>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</si>
  <si>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</si>
  <si>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</si>
  <si>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</si>
  <si>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</si>
  <si>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</si>
  <si>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</si>
  <si>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</si>
  <si>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</si>
  <si>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</si>
  <si>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</si>
  <si>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</si>
  <si>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</si>
  <si>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</si>
  <si>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</si>
  <si>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</si>
  <si>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</si>
  <si>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</si>
  <si>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</si>
  <si>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</si>
  <si>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</si>
  <si>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</si>
  <si>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</si>
  <si>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</si>
  <si>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</si>
  <si>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</si>
  <si>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</si>
  <si>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</si>
  <si>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</si>
  <si>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</si>
  <si>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</si>
  <si>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</si>
  <si>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</si>
  <si>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</si>
  <si>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</si>
  <si>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</si>
  <si>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</si>
  <si>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</si>
  <si>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</si>
  <si>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</si>
  <si>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</si>
  <si>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</si>
  <si>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</si>
  <si>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</si>
  <si>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</si>
  <si>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</si>
  <si>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</si>
  <si>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</si>
  <si>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</si>
  <si>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</si>
  <si>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</si>
  <si>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</si>
  <si>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</si>
  <si>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</si>
  <si>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</si>
  <si>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</si>
  <si>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</si>
  <si>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</si>
  <si>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</si>
  <si>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</si>
  <si>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</si>
  <si>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</si>
  <si>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</si>
  <si>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</si>
  <si>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</si>
  <si>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</si>
  <si>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</si>
  <si>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</si>
  <si>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</si>
  <si>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</si>
  <si>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</si>
  <si>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</si>
  <si>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</si>
  <si>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</si>
  <si>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</si>
  <si>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</si>
  <si>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</si>
  <si>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</si>
  <si>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</si>
  <si>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</si>
  <si>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</si>
  <si>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</si>
  <si>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</si>
  <si>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</si>
  <si>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</si>
  <si>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</si>
  <si>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</si>
  <si>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</si>
  <si>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</si>
  <si>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</si>
  <si>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</si>
  <si>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</si>
  <si>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</si>
  <si>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</si>
  <si>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</si>
  <si>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</si>
  <si>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</si>
  <si>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</si>
  <si>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</si>
  <si>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</si>
  <si>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</si>
  <si>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</si>
  <si>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</si>
  <si>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</si>
  <si>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</si>
  <si>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</si>
  <si>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</si>
  <si>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</si>
  <si>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</si>
  <si>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</si>
  <si>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</si>
  <si>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</si>
  <si>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</si>
  <si>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</si>
  <si>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</si>
  <si>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</si>
  <si>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</si>
  <si>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</si>
  <si>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</si>
  <si>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</si>
  <si>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</si>
  <si>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</si>
  <si>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</si>
  <si>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</si>
  <si>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</si>
  <si>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</si>
  <si>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</si>
  <si>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</si>
  <si>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</si>
  <si>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</si>
  <si>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</si>
  <si>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</si>
  <si>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</si>
  <si>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</si>
  <si>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</si>
  <si>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</si>
  <si>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</si>
  <si>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</si>
  <si>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</si>
  <si>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</si>
  <si>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</si>
  <si>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</si>
  <si>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</si>
  <si>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</si>
  <si>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</si>
  <si>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</si>
  <si>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</si>
  <si>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</si>
  <si>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</si>
  <si>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</si>
  <si>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</si>
  <si>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</si>
  <si>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</si>
  <si>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</si>
  <si>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</si>
  <si>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</si>
  <si>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</si>
  <si>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</si>
  <si>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</si>
  <si>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</si>
  <si>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</si>
  <si>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</si>
  <si>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</si>
  <si>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</si>
  <si>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</si>
  <si>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</si>
  <si>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</si>
  <si>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</si>
  <si>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</si>
  <si>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</si>
  <si>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</si>
  <si>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</si>
  <si>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</si>
  <si>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</si>
  <si>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</si>
  <si>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</si>
  <si>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</si>
  <si>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</si>
  <si>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</si>
  <si>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</si>
  <si>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</si>
  <si>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</si>
  <si>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</si>
  <si>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</si>
  <si>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</si>
  <si>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</si>
  <si>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</si>
  <si>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</si>
  <si>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</si>
  <si>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</si>
  <si>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</si>
  <si>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</si>
  <si>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</si>
  <si>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</si>
  <si>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</si>
  <si>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</si>
  <si>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</si>
  <si>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</si>
  <si>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</si>
  <si>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</si>
  <si>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</si>
  <si>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</si>
  <si>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</si>
  <si>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</si>
  <si>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</si>
  <si>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</si>
  <si>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</si>
  <si>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</si>
  <si>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</si>
  <si>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</si>
  <si>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</si>
  <si>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</si>
  <si>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</si>
  <si>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</si>
  <si>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</si>
  <si>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</si>
  <si>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</si>
  <si>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</si>
  <si>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</si>
  <si>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</si>
  <si>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</si>
  <si>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</si>
  <si>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</si>
  <si>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</si>
  <si>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</si>
  <si>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</si>
  <si>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</si>
  <si>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</si>
  <si>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</si>
  <si>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</si>
  <si>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</si>
  <si>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</si>
  <si>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</si>
  <si>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</si>
  <si>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</si>
  <si>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</si>
  <si>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</si>
  <si>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</si>
  <si>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</si>
  <si>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</si>
  <si>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</si>
  <si>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</si>
  <si>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</si>
  <si>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</si>
  <si>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</si>
  <si>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</si>
  <si>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</si>
  <si>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</si>
  <si>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</si>
  <si>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</si>
  <si>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</si>
  <si>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</si>
  <si>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</si>
  <si>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</si>
  <si>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</si>
  <si>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</si>
  <si>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</si>
  <si>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</si>
  <si>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</si>
  <si>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</si>
  <si>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</si>
  <si>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</si>
  <si>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</si>
  <si>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</si>
  <si>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</si>
  <si>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</si>
  <si>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</si>
  <si>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</si>
  <si>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</si>
  <si>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</si>
  <si>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</si>
  <si>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</si>
  <si>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</si>
  <si>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</si>
  <si>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</si>
  <si>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</si>
  <si>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</si>
  <si>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</si>
  <si>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</si>
  <si>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</si>
  <si>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</si>
  <si>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</si>
  <si>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</si>
  <si>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</si>
  <si>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</si>
  <si>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</si>
  <si>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</si>
  <si>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</si>
  <si>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</si>
  <si>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</si>
  <si>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</si>
  <si>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</si>
  <si>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</si>
  <si>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</si>
  <si>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</si>
  <si>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</si>
  <si>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</si>
  <si>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</si>
  <si>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</si>
  <si>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</si>
  <si>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</si>
  <si>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</si>
  <si>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</si>
  <si>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</si>
  <si>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</si>
  <si>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</si>
  <si>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</si>
  <si>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</si>
  <si>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</si>
  <si>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</si>
  <si>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</si>
  <si>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</si>
  <si>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</si>
  <si>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</si>
  <si>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</si>
  <si>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</si>
  <si>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</si>
  <si>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</si>
  <si>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</si>
  <si>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</si>
  <si>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</si>
  <si>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</si>
  <si>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</si>
  <si>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</si>
  <si>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</si>
  <si>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</si>
  <si>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</si>
  <si>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</si>
  <si>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</si>
  <si>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</si>
  <si>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</si>
  <si>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</si>
  <si>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</si>
  <si>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</si>
  <si>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</si>
  <si>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</si>
  <si>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</si>
  <si>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</si>
  <si>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</si>
  <si>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</si>
  <si>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</si>
  <si>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</si>
  <si>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</si>
  <si>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</si>
  <si>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</si>
  <si>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</si>
  <si>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</si>
  <si>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</si>
  <si>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</si>
  <si>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</si>
  <si>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</si>
  <si>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</si>
  <si>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</si>
  <si>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</si>
  <si>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</si>
  <si>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</si>
  <si>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</si>
  <si>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</si>
  <si>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</si>
  <si>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</si>
  <si>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</si>
  <si>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</si>
  <si>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</si>
  <si>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</si>
  <si>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</si>
  <si>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</si>
  <si>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</si>
  <si>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</si>
  <si>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</si>
  <si>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</si>
  <si>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</si>
  <si>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</si>
  <si>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</si>
  <si>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</si>
  <si>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</si>
  <si>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</si>
  <si>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</si>
  <si>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</si>
  <si>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</si>
  <si>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</si>
  <si>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</si>
  <si>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</si>
  <si>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</si>
  <si>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</si>
  <si>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</si>
  <si>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</si>
  <si>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</si>
  <si>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</si>
  <si>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</si>
  <si>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</si>
  <si>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</si>
  <si>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</si>
  <si>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</si>
  <si>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</si>
  <si>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</si>
  <si>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</si>
  <si>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</si>
  <si>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</si>
  <si>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</si>
  <si>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</si>
  <si>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</si>
  <si>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</si>
  <si>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</si>
  <si>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</si>
  <si>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</si>
  <si>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</si>
  <si>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</si>
  <si>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</si>
  <si>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</si>
  <si>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</si>
  <si>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</si>
  <si>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</si>
  <si>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</si>
  <si>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</si>
  <si>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</si>
  <si>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</si>
  <si>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</si>
  <si>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</si>
  <si>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</si>
  <si>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</si>
  <si>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</si>
  <si>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</si>
  <si>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</si>
  <si>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AURELIA MARQUIS, JULIEN FLORENTIN</t>
  </si>
  <si>
    <t xml:space="preserve">LEZ (34)</t>
  </si>
  <si>
    <t xml:space="preserve">LEZ A PRADES-LE-LEZ 3</t>
  </si>
  <si>
    <t xml:space="preserve">06188785</t>
  </si>
  <si>
    <t xml:space="preserve">9201 - IBMR-AERMC</t>
  </si>
  <si>
    <t xml:space="preserve">(Date)</t>
  </si>
  <si>
    <t xml:space="preserve">Résultats</t>
  </si>
  <si>
    <t xml:space="preserve">Robustesse:</t>
  </si>
  <si>
    <t xml:space="preserve">Unité(s) de relevé</t>
  </si>
  <si>
    <t xml:space="preserve">UR1</t>
  </si>
  <si>
    <t xml:space="preserve">UR2</t>
  </si>
  <si>
    <t xml:space="preserve">Faciès dominant</t>
  </si>
  <si>
    <t xml:space="preserve">rapide</t>
  </si>
  <si>
    <t xml:space="preserve">pl. lent</t>
  </si>
  <si>
    <t xml:space="preserve">niveau trophique</t>
  </si>
  <si>
    <t xml:space="preserve">moyen</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</si>
  <si>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</si>
  <si>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</si>
  <si>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</si>
  <si>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</si>
  <si>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</si>
  <si>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</si>
  <si>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</si>
  <si>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</si>
  <si>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</si>
  <si>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</si>
  <si>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</si>
  <si>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</si>
  <si>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</si>
  <si>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</si>
  <si>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</si>
  <si>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</si>
  <si>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</si>
  <si>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</si>
  <si>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</si>
  <si>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</si>
  <si>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</si>
  <si>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</si>
  <si>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</si>
  <si>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</si>
  <si>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</si>
  <si>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</si>
  <si>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</si>
  <si>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</si>
  <si>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</si>
  <si>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</si>
  <si>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</si>
  <si>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</si>
  <si>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</si>
  <si>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</si>
  <si>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</si>
  <si>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</si>
  <si>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</si>
  <si>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</si>
  <si>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</si>
  <si>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</si>
  <si>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</si>
  <si>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</si>
  <si>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</si>
  <si>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</si>
  <si>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</si>
  <si>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</si>
  <si>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</si>
  <si>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</si>
  <si>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</si>
  <si>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</si>
  <si>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</si>
  <si>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</si>
  <si>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</si>
  <si>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</si>
  <si>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</si>
  <si>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</si>
  <si>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</si>
  <si>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</si>
  <si>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</si>
  <si>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</si>
  <si>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</si>
  <si>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</si>
  <si>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</si>
  <si>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</si>
  <si>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</si>
  <si>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</si>
  <si>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</si>
  <si>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</si>
  <si>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</si>
  <si>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</si>
  <si>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</si>
  <si>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</si>
  <si>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</si>
  <si>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</si>
  <si>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</si>
  <si>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</si>
  <si>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</si>
  <si>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</si>
  <si>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</si>
  <si>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</si>
  <si>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</si>
  <si>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</si>
  <si>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</si>
  <si>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</si>
  <si>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</si>
  <si>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radier</t>
  </si>
  <si>
    <t xml:space="preserve">cascade</t>
  </si>
  <si>
    <t xml:space="preserve">ch. lentique</t>
  </si>
  <si>
    <t xml:space="preserve">mouille</t>
  </si>
  <si>
    <t xml:space="preserve">f. de dissipation</t>
  </si>
  <si>
    <t xml:space="preserve">autre</t>
  </si>
  <si>
    <t xml:space="preserve">Confer</t>
  </si>
  <si>
    <t xml:space="preserve">périphyton</t>
  </si>
  <si>
    <t xml:space="preserve">absent</t>
  </si>
  <si>
    <t xml:space="preserve">peu 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</si>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</sst>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7.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4.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8.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_rels/drawing2.xml.rels><?xml version="1.0" encoding="UTF-8"?>
<Relationships xmlns="http://schemas.openxmlformats.org/package/2006/relationships"><Relationship Id="rId1" Type="http://schemas.openxmlformats.org/officeDocument/2006/relationships/image" Target="../media/image3.wmf"/><Relationship Id="rId2" Type="http://schemas.openxmlformats.org/officeDocument/2006/relationships/image" Target="../media/image4.wmf"/>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5.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8"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xdr:twoCellAnchor editAs="absolute">
    <xdr:from>
      <xdr:col>5</xdr:col>
      <xdr:colOff>0</xdr:colOff>
      <xdr:row>0</xdr:row>
      <xdr:rowOff>95400</xdr:rowOff>
    </xdr:from>
    <xdr:to>
      <xdr:col>6</xdr:col>
      <xdr:colOff>398520</xdr:colOff>
      <xdr:row>1</xdr:row>
      <xdr:rowOff>94680</xdr:rowOff>
    </xdr:to>
    <xdr:pic>
      <xdr:nvPicPr>
        <xdr:cNvPr id="6" name="Liste_IBMR" descr=""/>
        <xdr:cNvPicPr/>
      </xdr:nvPicPr>
      <xdr:blipFill>
        <a:blip r:embed="rId1"/>
        <a:stretch/>
      </xdr:blipFill>
      <xdr:spPr>
        <a:xfrm>
          <a:off x="5360760" y="95400"/>
          <a:ext cx="874080" cy="227880"/>
        </a:xfrm>
        <a:prstGeom prst="rect">
          <a:avLst/>
        </a:prstGeom>
        <a:ln w="0">
          <a:noFill/>
        </a:ln>
      </xdr:spPr>
    </xdr:pic>
    <xdr:clientData/>
  </xdr:twoCellAnchor>
  <xdr:twoCellAnchor editAs="absolute">
    <xdr:from>
      <xdr:col>5</xdr:col>
      <xdr:colOff>0</xdr:colOff>
      <xdr:row>1</xdr:row>
      <xdr:rowOff>104760</xdr:rowOff>
    </xdr:from>
    <xdr:to>
      <xdr:col>6</xdr:col>
      <xdr:colOff>398520</xdr:colOff>
      <xdr:row>2</xdr:row>
      <xdr:rowOff>132840</xdr:rowOff>
    </xdr:to>
    <xdr:pic>
      <xdr:nvPicPr>
        <xdr:cNvPr id="7" name="Liste_totale" descr=""/>
        <xdr:cNvPicPr/>
      </xdr:nvPicPr>
      <xdr:blipFill>
        <a:blip r:embed="rId2"/>
        <a:stretch/>
      </xdr:blipFill>
      <xdr:spPr>
        <a:xfrm>
          <a:off x="5360760" y="333360"/>
          <a:ext cx="874080" cy="218520"/>
        </a:xfrm>
        <a:prstGeom prst="rect">
          <a:avLst/>
        </a:prstGeom>
        <a:ln w="0">
          <a:noFill/>
        </a:ln>
      </xdr:spPr>
    </xdr:pic>
    <xdr:clientData/>
  </xdr:twoCellAnchor>
</xdr:wsDr>
</file>

<file path=xl/drawings/drawing20.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9"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6.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0.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10"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
</Relationships>
</file>

<file path=xl/worksheets/_rels/sheet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2.vml"/><Relationship Id="rId3" Type="http://schemas.openxmlformats.org/officeDocument/2006/relationships/ctrlProp" Target="../ctrlProps/ctrlProps11.xml"/><Relationship Id="rId4" Type="http://schemas.openxmlformats.org/officeDocument/2006/relationships/ctrlProp" Target="../ctrlProps/ctrlProps12.xml"/><Relationship Id="rId5" Type="http://schemas.openxmlformats.org/officeDocument/2006/relationships/ctrlProp" Target="../ctrlProps/ctrlProps13.xml"/><Relationship Id="rId6" Type="http://schemas.openxmlformats.org/officeDocument/2006/relationships/ctrlProp" Target="../ctrlProps/ctrlProps14.xml"/>
</Relationships>
</file>

<file path=xl/worksheets/_rels/sheet4.xml.rels><?xml version="1.0" encoding="UTF-8"?>
<Relationships xmlns="http://schemas.openxmlformats.org/package/2006/relationships"><Relationship Id="rId1" Type="http://schemas.openxmlformats.org/officeDocument/2006/relationships/drawing" Target="../drawings/drawing15.xml"/><Relationship Id="rId2" Type="http://schemas.openxmlformats.org/officeDocument/2006/relationships/vmlDrawing" Target="../drawings/vmlDrawing3.vml"/><Relationship Id="rId3" Type="http://schemas.openxmlformats.org/officeDocument/2006/relationships/ctrlProp" Target="../ctrlProps/ctrlProps16.xml"/><Relationship Id="rId4" Type="http://schemas.openxmlformats.org/officeDocument/2006/relationships/ctrlProp" Target="../ctrlProps/ctrlProps17.xml"/><Relationship Id="rId5" Type="http://schemas.openxmlformats.org/officeDocument/2006/relationships/ctrlProp" Target="../ctrlProps/ctrlProps18.xml"/><Relationship Id="rId6" Type="http://schemas.openxmlformats.org/officeDocument/2006/relationships/ctrlProp" Target="../ctrlProps/ctrlProps19.xml"/>
</Relationships>
</file>

<file path=xl/worksheets/_rels/sheet5.xml.rels><?xml version="1.0" encoding="UTF-8"?>
<Relationships xmlns="http://schemas.openxmlformats.org/package/2006/relationships"><Relationship Id="rId1" Type="http://schemas.openxmlformats.org/officeDocument/2006/relationships/drawing" Target="../drawings/drawing20.xml"/><Relationship Id="rId2" Type="http://schemas.openxmlformats.org/officeDocument/2006/relationships/vmlDrawing" Target="../drawings/vmlDrawing4.vml"/><Relationship Id="rId3" Type="http://schemas.openxmlformats.org/officeDocument/2006/relationships/ctrlProp" Target="../ctrlProps/ctrlProps21.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2.xml"/><Relationship Id="rId3" Type="http://schemas.openxmlformats.org/officeDocument/2006/relationships/vmlDrawing" Target="../drawings/vmlDrawing5.vml"/><Relationship Id="rId4" Type="http://schemas.openxmlformats.org/officeDocument/2006/relationships/ctrlProp" Target="../ctrlProps/ctrlProps23.xml"/><Relationship Id="rId5" Type="http://schemas.openxmlformats.org/officeDocument/2006/relationships/ctrlProp" Target="../ctrlProps/ctrlProps24.xml"/><Relationship Id="rId6" Type="http://schemas.openxmlformats.org/officeDocument/2006/relationships/ctrlProp" Target="../ctrlProps/ctrlProps25.xml"/><Relationship Id="rId7" Type="http://schemas.openxmlformats.org/officeDocument/2006/relationships/ctrlProp" Target="../ctrlProps/ctrlProps26.xml"/><Relationship Id="rId8" Type="http://schemas.openxmlformats.org/officeDocument/2006/relationships/ctrlProp" Target="../ctrlProps/ctrlProps27.xml"/><Relationship Id="rId9" Type="http://schemas.openxmlformats.org/officeDocument/2006/relationships/ctrlProp" Target="../ctrlProps/ctrlProps28.xml"/><Relationship Id="rId10" Type="http://schemas.openxmlformats.org/officeDocument/2006/relationships/ctrlProp" Target="../ctrlProps/ctrlProps29.xml"/><Relationship Id="rId11" Type="http://schemas.openxmlformats.org/officeDocument/2006/relationships/ctrlProp" Target="../ctrlProps/ctrlProps30.xml"/><Relationship Id="rId12" Type="http://schemas.openxmlformats.org/officeDocument/2006/relationships/ctrlProp" Target="../ctrlProps/ctrlProps31.xml"/><Relationship Id="rId13" Type="http://schemas.openxmlformats.org/officeDocument/2006/relationships/ctrlProp" Target="../ctrlProps/ctrlProps32.xml"/><Relationship Id="rId14" Type="http://schemas.openxmlformats.org/officeDocument/2006/relationships/ctrlProp" Target="../ctrlProps/ctrlProps33.xml"/><Relationship Id="rId15" Type="http://schemas.openxmlformats.org/officeDocument/2006/relationships/ctrlProp" Target="../ctrlProps/ctrlProps34.xml"/><Relationship Id="rId16" Type="http://schemas.openxmlformats.org/officeDocument/2006/relationships/ctrlProp" Target="../ctrlProps/ctrlProps35.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6.xml"/><Relationship Id="rId3" Type="http://schemas.openxmlformats.org/officeDocument/2006/relationships/vmlDrawing" Target="../drawings/vmlDrawing6.vml"/><Relationship Id="rId4" Type="http://schemas.openxmlformats.org/officeDocument/2006/relationships/ctrlProp" Target="../ctrlProps/ctrlProps37.xml"/><Relationship Id="rId5" Type="http://schemas.openxmlformats.org/officeDocument/2006/relationships/ctrlProp" Target="../ctrlProps/ctrlProps38.xml"/><Relationship Id="rId6" Type="http://schemas.openxmlformats.org/officeDocument/2006/relationships/ctrlProp" Target="../ctrlProps/ctrlProps39.xml"/><Relationship Id="rId7" Type="http://schemas.openxmlformats.org/officeDocument/2006/relationships/ctrlProp" Target="../ctrlProps/ctrlProps40.xml"/><Relationship Id="rId8" Type="http://schemas.openxmlformats.org/officeDocument/2006/relationships/ctrlProp" Target="../ctrlProps/ctrlProps41.xml"/><Relationship Id="rId9" Type="http://schemas.openxmlformats.org/officeDocument/2006/relationships/ctrlProp" Target="../ctrlProps/ctrlProps42.xml"/><Relationship Id="rId10" Type="http://schemas.openxmlformats.org/officeDocument/2006/relationships/ctrlProp" Target="../ctrlProps/ctrlProps43.xml"/><Relationship Id="rId11" Type="http://schemas.openxmlformats.org/officeDocument/2006/relationships/ctrlProp" Target="../ctrlProps/ctrlProps44.xml"/><Relationship Id="rId12" Type="http://schemas.openxmlformats.org/officeDocument/2006/relationships/ctrlProp" Target="../ctrlProps/ctrlProps45.xml"/><Relationship Id="rId13" Type="http://schemas.openxmlformats.org/officeDocument/2006/relationships/ctrlProp" Target="../ctrlProps/ctrlProps46.xml"/><Relationship Id="rId14" Type="http://schemas.openxmlformats.org/officeDocument/2006/relationships/ctrlProp" Target="../ctrlProps/ctrlProps47.xml"/><Relationship Id="rId15" Type="http://schemas.openxmlformats.org/officeDocument/2006/relationships/ctrlProp" Target="../ctrlProps/ctrlProps48.xml"/><Relationship Id="rId16" Type="http://schemas.openxmlformats.org/officeDocument/2006/relationships/ctrlProp" Target="../ctrlProps/ctrlProps49.xml"/>
</Relationships>
</file>

<file path=xl/worksheets/_rels/sheet8.xml.rels><?xml version="1.0" encoding="UTF-8"?>
<Relationships xmlns="http://schemas.openxmlformats.org/package/2006/relationships"><Relationship Id="rId1" Type="http://schemas.openxmlformats.org/officeDocument/2006/relationships/drawing" Target="../drawings/drawing50.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42992</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10.7246376811594</v>
      </c>
      <c r="N5" s="324"/>
      <c r="O5" s="325" t="s">
        <v>707</v>
      </c>
      <c r="P5" s="326" t="n">
        <v>10.3833333333333</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1</v>
      </c>
      <c r="P6" s="338" t="s">
        <v>3392</v>
      </c>
      <c r="Q6" s="339"/>
      <c r="R6" s="281"/>
      <c r="S6" s="281"/>
      <c r="T6" s="281"/>
      <c r="U6" s="281"/>
      <c r="V6" s="281"/>
      <c r="W6" s="295"/>
      <c r="X6" s="0"/>
      <c r="Y6" s="0"/>
      <c r="Z6" s="0"/>
    </row>
    <row r="7" customFormat="false" ht="12.75" hidden="false" customHeight="false" outlineLevel="0" collapsed="false">
      <c r="A7" s="340" t="s">
        <v>3393</v>
      </c>
      <c r="B7" s="341" t="n">
        <v>7</v>
      </c>
      <c r="C7" s="342" t="n">
        <v>93</v>
      </c>
      <c r="D7" s="330"/>
      <c r="E7" s="330"/>
      <c r="F7" s="343" t="n">
        <f aca="false">B7+C7</f>
        <v>100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10.5714285714286</v>
      </c>
      <c r="P8" s="356" t="n">
        <f aca="false">IF(ISERROR(AVERAGE(K23:K82)),"  ",AVERAGE(K23:K82))</f>
        <v>1.71428571428571</v>
      </c>
      <c r="Q8" s="357"/>
      <c r="R8" s="281"/>
      <c r="S8" s="281"/>
      <c r="T8" s="281"/>
      <c r="U8" s="281"/>
      <c r="V8" s="281"/>
      <c r="W8" s="295"/>
      <c r="X8" s="0"/>
      <c r="Y8" s="0"/>
      <c r="Z8" s="0"/>
    </row>
    <row r="9" customFormat="false" ht="12.75" hidden="false" customHeight="false" outlineLevel="0" collapsed="false">
      <c r="A9" s="314" t="s">
        <v>3399</v>
      </c>
      <c r="B9" s="358" t="n">
        <v>92</v>
      </c>
      <c r="C9" s="359" t="n">
        <v>100</v>
      </c>
      <c r="D9" s="360"/>
      <c r="E9" s="360"/>
      <c r="F9" s="361" t="n">
        <f aca="false">($B9*$B$7+$C9*$C$7)/100</f>
        <v>99.44</v>
      </c>
      <c r="G9" s="362"/>
      <c r="H9" s="317"/>
      <c r="I9" s="281"/>
      <c r="J9" s="363"/>
      <c r="K9" s="364"/>
      <c r="L9" s="347"/>
      <c r="M9" s="365"/>
      <c r="N9" s="355" t="s">
        <v>3400</v>
      </c>
      <c r="O9" s="356" t="n">
        <f aca="false">IF(ISERROR(STDEVP(J23:J82))," ",STDEVP(J23:J82))</f>
        <v>3.28881840949181</v>
      </c>
      <c r="P9" s="356" t="n">
        <f aca="false">IF(ISERROR(STDEVP(K23:K82)),"  ",STDEVP(K23:K82))</f>
        <v>0.699854212223765</v>
      </c>
      <c r="Q9" s="357"/>
      <c r="R9" s="281"/>
      <c r="S9" s="281"/>
      <c r="T9" s="281"/>
      <c r="U9" s="281"/>
      <c r="V9" s="281"/>
      <c r="W9" s="295"/>
      <c r="X9" s="0"/>
      <c r="Y9" s="0"/>
      <c r="Z9" s="0"/>
    </row>
    <row r="10" customFormat="false" ht="12.75" hidden="false" customHeight="false" outlineLevel="0" collapsed="false">
      <c r="A10" s="314" t="s">
        <v>3401</v>
      </c>
      <c r="B10" s="366" t="s">
        <v>3402</v>
      </c>
      <c r="C10" s="367" t="s">
        <v>3402</v>
      </c>
      <c r="D10" s="360"/>
      <c r="E10" s="360"/>
      <c r="F10" s="361"/>
      <c r="G10" s="362"/>
      <c r="H10" s="330"/>
      <c r="I10" s="281"/>
      <c r="J10" s="368"/>
      <c r="K10" s="369" t="s">
        <v>3403</v>
      </c>
      <c r="L10" s="370"/>
      <c r="M10" s="371"/>
      <c r="N10" s="355" t="s">
        <v>3404</v>
      </c>
      <c r="O10" s="372" t="n">
        <f aca="false">MIN(J23:J82)</f>
        <v>4</v>
      </c>
      <c r="P10" s="372" t="n">
        <f aca="false">MIN(K23:K82)</f>
        <v>1</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20</v>
      </c>
      <c r="P11" s="372" t="n">
        <f aca="false">MAX(K23:K82)</f>
        <v>3</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6</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8</v>
      </c>
      <c r="M13" s="381"/>
      <c r="N13" s="389" t="s">
        <v>3412</v>
      </c>
      <c r="O13" s="390" t="n">
        <f aca="false">COUNTIF(F23:F82,"&gt;0")</f>
        <v>28</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1</v>
      </c>
      <c r="M14" s="381"/>
      <c r="N14" s="392" t="s">
        <v>3415</v>
      </c>
      <c r="O14" s="393" t="n">
        <f aca="false">COUNTIF($J$23:$J$82,"&gt;-1")</f>
        <v>21</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13</v>
      </c>
      <c r="M15" s="381"/>
      <c r="N15" s="389" t="s">
        <v>3418</v>
      </c>
      <c r="O15" s="390" t="n">
        <f aca="false">COUNTIF(K23:K82,"=1")</f>
        <v>9</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9</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n">
        <f aca="false">IF(ISERROR((O13-(COUNTIF(J23:J82,"nc")))/O13),"-",(O13-(COUNTIF(J23:J82,"nc")))/O13)</f>
        <v>0.75</v>
      </c>
      <c r="N17" s="389" t="s">
        <v>3423</v>
      </c>
      <c r="O17" s="390" t="n">
        <f aca="false">COUNTIF(K23:K82,"=3")</f>
        <v>3</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93.725</v>
      </c>
      <c r="C20" s="433" t="n">
        <f aca="false">SUM(C23:C82)</f>
        <v>115.9</v>
      </c>
      <c r="D20" s="434"/>
      <c r="E20" s="435" t="s">
        <v>3425</v>
      </c>
      <c r="F20" s="436" t="n">
        <f aca="false">($B20*$B$7+$C20*$C$7)/100</f>
        <v>114.34775</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6.56075</v>
      </c>
      <c r="C21" s="444" t="n">
        <f aca="false">C20*C7/100</f>
        <v>107.787</v>
      </c>
      <c r="D21" s="445" t="s">
        <v>3428</v>
      </c>
      <c r="E21" s="446"/>
      <c r="F21" s="447" t="n">
        <f aca="false">B21+C21</f>
        <v>114.34775</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134</v>
      </c>
      <c r="B23" s="472" t="n">
        <v>7</v>
      </c>
      <c r="C23" s="473" t="n">
        <v>5</v>
      </c>
      <c r="D23" s="474" t="str">
        <f aca="false">IF(ISERROR(VLOOKUP($A23,'liste reference'!$A$6:$B$1174,2,0)),IF(ISERROR(VLOOKUP($A23,'liste reference'!$B$6:$B$1174,1,0)),"",VLOOKUP($A23,'liste reference'!$B$6:$B$1174,1,0)),VLOOKUP($A23,'liste reference'!$A$6:$B$1174,2,0))</f>
        <v>Cladophora sp.</v>
      </c>
      <c r="E23" s="475" t="e">
        <f aca="false">IF(D23="",0,VLOOKUP(D23,D$22:D22,1,0))</f>
        <v>#N/A</v>
      </c>
      <c r="F23" s="476" t="n">
        <f aca="false">IF(AND(OR(A23="",A23="!!!!!!"),B23="",C23=""),"",IF(OR(AND(B23="",C23=""),ISERROR(C23+B23)),"!!!",($B23*$B$7+$C23*$C$7)/100))</f>
        <v>5.14</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6</v>
      </c>
      <c r="K23" s="479" t="n">
        <f aca="false">IF(ISNUMBER($H23),IF(ISERROR(VLOOKUP($A23,'liste reference'!$A$6:$Q$1174,7,0)),IF(ISERROR(VLOOKUP($A23,'liste reference'!$B$6:$Q$1174,6,0)),"nu",VLOOKUP($A23,'liste reference'!$B$6:$Q$1174,6,0)),VLOOKUP($A23,'liste reference'!$A$6:$Q$1174,7,0)),"nu")</f>
        <v>1</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Cladophora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1124</v>
      </c>
      <c r="R23" s="484" t="n">
        <f aca="false">IF(ISTEXT(H23),"",(B23*$B$7/100)+(C23*$C$7/100))</f>
        <v>5.14</v>
      </c>
      <c r="S23" s="485" t="n">
        <f aca="false">IF(OR(ISTEXT(H23),R23=0),"",IF(R23&lt;0.1,1,IF(R23&lt;1,2,IF(R23&lt;10,3,IF(R23&lt;50,4,IF(R23&gt;=50,5,""))))))</f>
        <v>3</v>
      </c>
      <c r="T23" s="485" t="n">
        <f aca="false">IF(ISERROR(S23*J23),0,S23*J23)</f>
        <v>18</v>
      </c>
      <c r="U23" s="485" t="n">
        <f aca="false">IF(ISERROR(S23*J23*K23),0,S23*J23*K23)</f>
        <v>18</v>
      </c>
      <c r="V23" s="485" t="n">
        <f aca="false">IF(ISERROR(S23*K23),0,S23*K23)</f>
        <v>3</v>
      </c>
      <c r="W23" s="486"/>
      <c r="X23" s="487"/>
      <c r="Y23" s="488" t="str">
        <f aca="false">IF(AND(ISNUMBER(F23),OR(A23="",A23="!!!!!!")),"!!!!!!",IF(A23="new.cod","NEWCOD",IF(AND((Z23=""),ISTEXT(A23),A23&lt;&gt;"!!!!!!"),A23,IF(Z23="","",INDEX('liste reference'!$A$6:$A$1174,Z23)))))</f>
        <v>CLASPX</v>
      </c>
      <c r="Z23" s="470" t="n">
        <f aca="false">IF(ISERROR(MATCH(A23,'liste reference'!$A$6:$A$1174,0)),IF(ISERROR(MATCH(A23,'liste reference'!$B$6:$B$1174,0)),"",(MATCH(A23,'liste reference'!$B$6:$B$1174,0))),(MATCH(A23,'liste reference'!$A$6:$A$1174,0)))</f>
        <v>35</v>
      </c>
    </row>
    <row r="24" customFormat="false" ht="12.75" hidden="false" customHeight="false" outlineLevel="0" collapsed="false">
      <c r="A24" s="489" t="s">
        <v>151</v>
      </c>
      <c r="B24" s="490" t="n">
        <v>0.1</v>
      </c>
      <c r="C24" s="491"/>
      <c r="D24" s="492" t="str">
        <f aca="false">IF(ISERROR(VLOOKUP($A24,'liste reference'!$A$6:$B$1174,2,0)),IF(ISERROR(VLOOKUP($A24,'liste reference'!$B$6:$B$1174,1,0)),"",VLOOKUP($A24,'liste reference'!$B$6:$B$1174,1,0)),VLOOKUP($A24,'liste reference'!$A$6:$B$1174,2,0))</f>
        <v>Diatoma sp.</v>
      </c>
      <c r="E24" s="493" t="e">
        <f aca="false">IF(D24="",0,VLOOKUP(D24,D$22:D23,1,0))</f>
        <v>#N/A</v>
      </c>
      <c r="F24" s="494" t="n">
        <f aca="false">IF(AND(OR(A24="",A24="!!!!!!"),B24="",C24=""),"",IF(OR(AND(B24="",C24=""),ISERROR(C24+B24)),"!!!",($B24*$B$7+$C24*$C$7)/100))</f>
        <v>0.007</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12</v>
      </c>
      <c r="K24" s="497" t="n">
        <f aca="false">IF(ISNUMBER($H24),IF(ISERROR(VLOOKUP($A24,'liste reference'!$A$6:$Q$1174,7,0)),IF(ISERROR(VLOOKUP($A24,'liste reference'!$B$6:$Q$1174,6,0)),"nu",VLOOKUP($A24,'liste reference'!$B$6:$Q$1174,6,0)),VLOOKUP($A24,'liste reference'!$A$6:$Q$1174,7,0)),"nu")</f>
        <v>2</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Diatoma sp.</v>
      </c>
      <c r="M24" s="498"/>
      <c r="N24" s="498"/>
      <c r="O24" s="498"/>
      <c r="P24" s="499" t="s">
        <v>3448</v>
      </c>
      <c r="Q24" s="500" t="n">
        <f aca="false">IF(OR($A24="NEWCOD",$A24="!!!!!!"),IF(X24="","NoCod",X24),IF($A24="","",IF(ISERROR(VLOOKUP($A24,'liste reference'!$A$6:$H$1174,8,0)),IF(ISERROR(VLOOKUP($A24,'liste reference'!$B$6:$H$1174,7,0)),"",VLOOKUP($A24,'liste reference'!$B$6:$H$1174,7,0)),VLOOKUP($A24,'liste reference'!$A$6:$H$1174,8,0))))</f>
        <v>6627</v>
      </c>
      <c r="R24" s="484" t="n">
        <f aca="false">IF(ISTEXT(H24),"",(B24*$B$7/100)+(C24*$C$7/100))</f>
        <v>0.007</v>
      </c>
      <c r="S24" s="485" t="n">
        <f aca="false">IF(OR(ISTEXT(H24),R24=0),"",IF(R24&lt;0.1,1,IF(R24&lt;1,2,IF(R24&lt;10,3,IF(R24&lt;50,4,IF(R24&gt;=50,5,""))))))</f>
        <v>1</v>
      </c>
      <c r="T24" s="485" t="n">
        <f aca="false">IF(ISERROR(S24*J24),0,S24*J24)</f>
        <v>12</v>
      </c>
      <c r="U24" s="485" t="n">
        <f aca="false">IF(ISERROR(S24*J24*K24),0,S24*J24*K24)</f>
        <v>24</v>
      </c>
      <c r="V24" s="501" t="n">
        <f aca="false">IF(ISERROR(S24*K24),0,S24*K24)</f>
        <v>2</v>
      </c>
      <c r="W24" s="502"/>
      <c r="X24" s="503"/>
      <c r="Y24" s="488" t="str">
        <f aca="false">IF(AND(ISNUMBER(F24),OR(A24="",A24="!!!!!!")),"!!!!!!",IF(A24="new.cod","NEWCOD",IF(AND((Z24=""),ISTEXT(A24),A24&lt;&gt;"!!!!!!"),A24,IF(Z24="","",INDEX('liste reference'!$A$6:$A$1174,Z24)))))</f>
        <v>DIASPX</v>
      </c>
      <c r="Z24" s="470" t="n">
        <f aca="false">IF(ISERROR(MATCH(A24,'liste reference'!$A$6:$A$1174,0)),IF(ISERROR(MATCH(A24,'liste reference'!$B$6:$B$1174,0)),"",(MATCH(A24,'liste reference'!$B$6:$B$1174,0))),(MATCH(A24,'liste reference'!$A$6:$A$1174,0)))</f>
        <v>40</v>
      </c>
    </row>
    <row r="25" customFormat="false" ht="12.75" hidden="false" customHeight="false" outlineLevel="0" collapsed="false">
      <c r="A25" s="489" t="s">
        <v>282</v>
      </c>
      <c r="B25" s="490" t="n">
        <v>0.01</v>
      </c>
      <c r="C25" s="491"/>
      <c r="D25" s="492" t="str">
        <f aca="false">IF(ISERROR(VLOOKUP($A25,'liste reference'!$A$6:$B$1174,2,0)),IF(ISERROR(VLOOKUP($A25,'liste reference'!$B$6:$B$1174,1,0)),"",VLOOKUP($A25,'liste reference'!$B$6:$B$1174,1,0)),VLOOKUP($A25,'liste reference'!$A$6:$B$1174,2,0))</f>
        <v>Nitellopsis obtusa</v>
      </c>
      <c r="E25" s="493" t="e">
        <f aca="false">IF(D25="",0,VLOOKUP(D25,D$22:D24,1,0))</f>
        <v>#N/A</v>
      </c>
      <c r="F25" s="494" t="n">
        <f aca="false">IF(AND(OR(A25="",A25="!!!!!!"),B25="",C25=""),"",IF(OR(AND(B25="",C25=""),ISERROR(C25+B25)),"!!!",($B25*$B$7+$C25*$C$7)/100))</f>
        <v>0.0007</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str">
        <f aca="false">IF(ISNUMBER($H25),IF(ISERROR(VLOOKUP($A25,'liste reference'!$A$6:$Q$1174,6,0)),IF(ISERROR(VLOOKUP($A25,'liste reference'!$B$6:$Q$1174,5,0)),"nu",VLOOKUP($A25,'liste reference'!$B$6:$Q$1174,5,0)),VLOOKUP($A25,'liste reference'!$A$6:$Q$1174,6,0)),"nu")</f>
        <v>nc</v>
      </c>
      <c r="K25" s="497" t="str">
        <f aca="false">IF(ISNUMBER($H25),IF(ISERROR(VLOOKUP($A25,'liste reference'!$A$6:$Q$1174,7,0)),IF(ISERROR(VLOOKUP($A25,'liste reference'!$B$6:$Q$1174,6,0)),"nu",VLOOKUP($A25,'liste reference'!$B$6:$Q$1174,6,0)),VLOOKUP($A25,'liste reference'!$A$6:$Q$1174,7,0)),"nu")</f>
        <v>nc</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Nitellopsis obtusa</v>
      </c>
      <c r="M25" s="498"/>
      <c r="N25" s="498"/>
      <c r="O25" s="498"/>
      <c r="P25" s="499" t="s">
        <v>3448</v>
      </c>
      <c r="Q25" s="500" t="n">
        <f aca="false">IF(OR($A25="NEWCOD",$A25="!!!!!!"),IF(X25="","NoCod",X25),IF($A25="","",IF(ISERROR(VLOOKUP($A25,'liste reference'!$A$6:$H$1174,8,0)),IF(ISERROR(VLOOKUP($A25,'liste reference'!$B$6:$H$1174,7,0)),"",VLOOKUP($A25,'liste reference'!$B$6:$H$1174,7,0)),VLOOKUP($A25,'liste reference'!$A$6:$H$1174,8,0))))</f>
        <v>5272</v>
      </c>
      <c r="R25" s="484" t="n">
        <f aca="false">IF(ISTEXT(H25),"",(B25*$B$7/100)+(C25*$C$7/100))</f>
        <v>0.0007</v>
      </c>
      <c r="S25" s="485" t="n">
        <f aca="false">IF(OR(ISTEXT(H25),R25=0),"",IF(R25&lt;0.1,1,IF(R25&lt;1,2,IF(R25&lt;10,3,IF(R25&lt;50,4,IF(R25&gt;=50,5,""))))))</f>
        <v>1</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NIEOBT</v>
      </c>
      <c r="Z25" s="470" t="n">
        <f aca="false">IF(ISERROR(MATCH(A25,'liste reference'!$A$6:$A$1174,0)),IF(ISERROR(MATCH(A25,'liste reference'!$B$6:$B$1174,0)),"",(MATCH(A25,'liste reference'!$B$6:$B$1174,0))),(MATCH(A25,'liste reference'!$A$6:$A$1174,0)))</f>
        <v>81</v>
      </c>
    </row>
    <row r="26" customFormat="false" ht="12.75" hidden="false" customHeight="false" outlineLevel="0" collapsed="false">
      <c r="A26" s="489" t="s">
        <v>309</v>
      </c>
      <c r="B26" s="490" t="n">
        <v>17</v>
      </c>
      <c r="C26" s="491" t="n">
        <v>15</v>
      </c>
      <c r="D26" s="492" t="str">
        <f aca="false">IF(ISERROR(VLOOKUP($A26,'liste reference'!$A$6:$B$1174,2,0)),IF(ISERROR(VLOOKUP($A26,'liste reference'!$B$6:$B$1174,1,0)),"",VLOOKUP($A26,'liste reference'!$B$6:$B$1174,1,0)),VLOOKUP($A26,'liste reference'!$A$6:$B$1174,2,0))</f>
        <v>Phormidium sp.</v>
      </c>
      <c r="E26" s="493" t="e">
        <f aca="false">IF(D26="",0,VLOOKUP(D26,D$22:D25,1,0))</f>
        <v>#N/A</v>
      </c>
      <c r="F26" s="494" t="n">
        <f aca="false">IF(AND(OR(A26="",A26="!!!!!!"),B26="",C26=""),"",IF(OR(AND(B26="",C26=""),ISERROR(C26+B26)),"!!!",($B26*$B$7+$C26*$C$7)/100))</f>
        <v>15.14</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13</v>
      </c>
      <c r="K26" s="497" t="n">
        <f aca="false">IF(ISNUMBER($H26),IF(ISERROR(VLOOKUP($A26,'liste reference'!$A$6:$Q$1174,7,0)),IF(ISERROR(VLOOKUP($A26,'liste reference'!$B$6:$Q$1174,6,0)),"nu",VLOOKUP($A26,'liste reference'!$B$6:$Q$1174,6,0)),VLOOKUP($A26,'liste reference'!$A$6:$Q$1174,7,0)),"nu")</f>
        <v>2</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Phormidium sp.</v>
      </c>
      <c r="M26" s="498"/>
      <c r="N26" s="498"/>
      <c r="O26" s="498"/>
      <c r="P26" s="499" t="s">
        <v>3449</v>
      </c>
      <c r="Q26" s="500" t="n">
        <f aca="false">IF(OR($A26="NEWCOD",$A26="!!!!!!"),IF(X26="","NoCod",X26),IF($A26="","",IF(ISERROR(VLOOKUP($A26,'liste reference'!$A$6:$H$1174,8,0)),IF(ISERROR(VLOOKUP($A26,'liste reference'!$B$6:$H$1174,7,0)),"",VLOOKUP($A26,'liste reference'!$B$6:$H$1174,7,0)),VLOOKUP($A26,'liste reference'!$A$6:$H$1174,8,0))))</f>
        <v>6414</v>
      </c>
      <c r="R26" s="484" t="n">
        <f aca="false">IF(ISTEXT(H26),"",(B26*$B$7/100)+(C26*$C$7/100))</f>
        <v>15.14</v>
      </c>
      <c r="S26" s="485" t="n">
        <f aca="false">IF(OR(ISTEXT(H26),R26=0),"",IF(R26&lt;0.1,1,IF(R26&lt;1,2,IF(R26&lt;10,3,IF(R26&lt;50,4,IF(R26&gt;=50,5,""))))))</f>
        <v>4</v>
      </c>
      <c r="T26" s="485" t="n">
        <f aca="false">IF(ISERROR(S26*J26),0,S26*J26)</f>
        <v>52</v>
      </c>
      <c r="U26" s="485" t="n">
        <f aca="false">IF(ISERROR(S26*J26*K26),0,S26*J26*K26)</f>
        <v>104</v>
      </c>
      <c r="V26" s="501" t="n">
        <f aca="false">IF(ISERROR(S26*K26),0,S26*K26)</f>
        <v>8</v>
      </c>
      <c r="W26" s="502"/>
      <c r="X26" s="503"/>
      <c r="Y26" s="488" t="str">
        <f aca="false">IF(AND(ISNUMBER(F26),OR(A26="",A26="!!!!!!")),"!!!!!!",IF(A26="new.cod","NEWCOD",IF(AND((Z26=""),ISTEXT(A26),A26&lt;&gt;"!!!!!!"),A26,IF(Z26="","",INDEX('liste reference'!$A$6:$A$1174,Z26)))))</f>
        <v>PHOSPX</v>
      </c>
      <c r="Z26" s="470" t="n">
        <f aca="false">IF(ISERROR(MATCH(A26,'liste reference'!$A$6:$A$1174,0)),IF(ISERROR(MATCH(A26,'liste reference'!$B$6:$B$1174,0)),"",(MATCH(A26,'liste reference'!$B$6:$B$1174,0))),(MATCH(A26,'liste reference'!$A$6:$A$1174,0)))</f>
        <v>88</v>
      </c>
    </row>
    <row r="27" customFormat="false" ht="12.75" hidden="false" customHeight="false" outlineLevel="0" collapsed="false">
      <c r="A27" s="489" t="s">
        <v>343</v>
      </c>
      <c r="B27" s="490"/>
      <c r="C27" s="491" t="n">
        <v>0.01</v>
      </c>
      <c r="D27" s="492" t="str">
        <f aca="false">IF(ISERROR(VLOOKUP($A27,'liste reference'!$A$6:$B$1174,2,0)),IF(ISERROR(VLOOKUP($A27,'liste reference'!$B$6:$B$1174,1,0)),"",VLOOKUP($A27,'liste reference'!$B$6:$B$1174,1,0)),VLOOKUP($A27,'liste reference'!$A$6:$B$1174,2,0))</f>
        <v>Spirogyra sp.</v>
      </c>
      <c r="E27" s="493" t="e">
        <f aca="false">IF(D27="",0,VLOOKUP(D27,D$22:D26,1,0))</f>
        <v>#N/A</v>
      </c>
      <c r="F27" s="494" t="n">
        <f aca="false">IF(AND(OR(A27="",A27="!!!!!!"),B27="",C27=""),"",IF(OR(AND(B27="",C27=""),ISERROR(C27+B27)),"!!!",($B27*$B$7+$C27*$C$7)/100))</f>
        <v>0.0093</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10</v>
      </c>
      <c r="K27" s="497" t="n">
        <f aca="false">IF(ISNUMBER($H27),IF(ISERROR(VLOOKUP($A27,'liste reference'!$A$6:$Q$1174,7,0)),IF(ISERROR(VLOOKUP($A27,'liste reference'!$B$6:$Q$1174,6,0)),"nu",VLOOKUP($A27,'liste reference'!$B$6:$Q$1174,6,0)),VLOOKUP($A27,'liste reference'!$A$6:$Q$1174,7,0)),"nu")</f>
        <v>1</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Spirogyra sp.</v>
      </c>
      <c r="M27" s="498"/>
      <c r="N27" s="498"/>
      <c r="O27" s="498"/>
      <c r="P27" s="499" t="s">
        <v>3448</v>
      </c>
      <c r="Q27" s="500" t="n">
        <f aca="false">IF(OR($A27="NEWCOD",$A27="!!!!!!"),IF(X27="","NoCod",X27),IF($A27="","",IF(ISERROR(VLOOKUP($A27,'liste reference'!$A$6:$H$1174,8,0)),IF(ISERROR(VLOOKUP($A27,'liste reference'!$B$6:$H$1174,7,0)),"",VLOOKUP($A27,'liste reference'!$B$6:$H$1174,7,0)),VLOOKUP($A27,'liste reference'!$A$6:$H$1174,8,0))))</f>
        <v>1147</v>
      </c>
      <c r="R27" s="484" t="n">
        <f aca="false">IF(ISTEXT(H27),"",(B27*$B$7/100)+(C27*$C$7/100))</f>
        <v>0.0093</v>
      </c>
      <c r="S27" s="485" t="n">
        <f aca="false">IF(OR(ISTEXT(H27),R27=0),"",IF(R27&lt;0.1,1,IF(R27&lt;1,2,IF(R27&lt;10,3,IF(R27&lt;50,4,IF(R27&gt;=50,5,""))))))</f>
        <v>1</v>
      </c>
      <c r="T27" s="485" t="n">
        <f aca="false">IF(ISERROR(S27*J27),0,S27*J27)</f>
        <v>10</v>
      </c>
      <c r="U27" s="485" t="n">
        <f aca="false">IF(ISERROR(S27*J27*K27),0,S27*J27*K27)</f>
        <v>10</v>
      </c>
      <c r="V27" s="501" t="n">
        <f aca="false">IF(ISERROR(S27*K27),0,S27*K27)</f>
        <v>1</v>
      </c>
      <c r="W27" s="502"/>
      <c r="X27" s="503"/>
      <c r="Y27" s="488" t="str">
        <f aca="false">IF(AND(ISNUMBER(F27),OR(A27="",A27="!!!!!!")),"!!!!!!",IF(A27="new.cod","NEWCOD",IF(AND((Z27=""),ISTEXT(A27),A27&lt;&gt;"!!!!!!"),A27,IF(Z27="","",INDEX('liste reference'!$A$6:$A$1174,Z27)))))</f>
        <v>SPISPX</v>
      </c>
      <c r="Z27" s="470" t="n">
        <f aca="false">IF(ISERROR(MATCH(A27,'liste reference'!$A$6:$A$1174,0)),IF(ISERROR(MATCH(A27,'liste reference'!$B$6:$B$1174,0)),"",(MATCH(A27,'liste reference'!$B$6:$B$1174,0))),(MATCH(A27,'liste reference'!$A$6:$A$1174,0)))</f>
        <v>102</v>
      </c>
    </row>
    <row r="28" customFormat="false" ht="12.75" hidden="false" customHeight="false" outlineLevel="0" collapsed="false">
      <c r="A28" s="489" t="s">
        <v>395</v>
      </c>
      <c r="B28" s="490" t="n">
        <v>47</v>
      </c>
      <c r="C28" s="491" t="n">
        <v>90</v>
      </c>
      <c r="D28" s="492" t="str">
        <f aca="false">IF(ISERROR(VLOOKUP($A28,'liste reference'!$A$6:$B$1174,2,0)),IF(ISERROR(VLOOKUP($A28,'liste reference'!$B$6:$B$1174,1,0)),"",VLOOKUP($A28,'liste reference'!$B$6:$B$1174,1,0)),VLOOKUP($A28,'liste reference'!$A$6:$B$1174,2,0))</f>
        <v>Vaucheria sp.</v>
      </c>
      <c r="E28" s="493" t="e">
        <f aca="false">IF(D28="",0,VLOOKUP(D28,D$22:D27,1,0))</f>
        <v>#N/A</v>
      </c>
      <c r="F28" s="494" t="n">
        <f aca="false">IF(AND(OR(A28="",A28="!!!!!!"),B28="",C28=""),"",IF(OR(AND(B28="",C28=""),ISERROR(C28+B28)),"!!!",($B28*$B$7+$C28*$C$7)/100))</f>
        <v>86.99</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n">
        <f aca="false">IF(ISNUMBER($H28),IF(ISERROR(VLOOKUP($A28,'liste reference'!$A$6:$Q$1174,6,0)),IF(ISERROR(VLOOKUP($A28,'liste reference'!$B$6:$Q$1174,5,0)),"nu",VLOOKUP($A28,'liste reference'!$B$6:$Q$1174,5,0)),VLOOKUP($A28,'liste reference'!$A$6:$Q$1174,6,0)),"nu")</f>
        <v>4</v>
      </c>
      <c r="K28" s="497" t="n">
        <f aca="false">IF(ISNUMBER($H28),IF(ISERROR(VLOOKUP($A28,'liste reference'!$A$6:$Q$1174,7,0)),IF(ISERROR(VLOOKUP($A28,'liste reference'!$B$6:$Q$1174,6,0)),"nu",VLOOKUP($A28,'liste reference'!$B$6:$Q$1174,6,0)),VLOOKUP($A28,'liste reference'!$A$6:$Q$1174,7,0)),"nu")</f>
        <v>1</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Vaucheria sp.</v>
      </c>
      <c r="M28" s="498"/>
      <c r="N28" s="498"/>
      <c r="O28" s="498"/>
      <c r="P28" s="499" t="s">
        <v>3448</v>
      </c>
      <c r="Q28" s="500" t="n">
        <f aca="false">IF(OR($A28="NEWCOD",$A28="!!!!!!"),IF(X28="","NoCod",X28),IF($A28="","",IF(ISERROR(VLOOKUP($A28,'liste reference'!$A$6:$H$1174,8,0)),IF(ISERROR(VLOOKUP($A28,'liste reference'!$B$6:$H$1174,7,0)),"",VLOOKUP($A28,'liste reference'!$B$6:$H$1174,7,0)),VLOOKUP($A28,'liste reference'!$A$6:$H$1174,8,0))))</f>
        <v>1169</v>
      </c>
      <c r="R28" s="484" t="n">
        <f aca="false">IF(ISTEXT(H28),"",(B28*$B$7/100)+(C28*$C$7/100))</f>
        <v>86.99</v>
      </c>
      <c r="S28" s="485" t="n">
        <f aca="false">IF(OR(ISTEXT(H28),R28=0),"",IF(R28&lt;0.1,1,IF(R28&lt;1,2,IF(R28&lt;10,3,IF(R28&lt;50,4,IF(R28&gt;=50,5,""))))))</f>
        <v>5</v>
      </c>
      <c r="T28" s="485" t="n">
        <f aca="false">IF(ISERROR(S28*J28),0,S28*J28)</f>
        <v>20</v>
      </c>
      <c r="U28" s="485" t="n">
        <f aca="false">IF(ISERROR(S28*J28*K28),0,S28*J28*K28)</f>
        <v>20</v>
      </c>
      <c r="V28" s="501" t="n">
        <f aca="false">IF(ISERROR(S28*K28),0,S28*K28)</f>
        <v>5</v>
      </c>
      <c r="W28" s="502"/>
      <c r="X28" s="503"/>
      <c r="Y28" s="488" t="str">
        <f aca="false">IF(AND(ISNUMBER(F28),OR(A28="",A28="!!!!!!")),"!!!!!!",IF(A28="new.cod","NEWCOD",IF(AND((Z28=""),ISTEXT(A28),A28&lt;&gt;"!!!!!!"),A28,IF(Z28="","",INDEX('liste reference'!$A$6:$A$1174,Z28)))))</f>
        <v>VAUSPX</v>
      </c>
      <c r="Z28" s="470" t="n">
        <f aca="false">IF(ISERROR(MATCH(A28,'liste reference'!$A$6:$A$1174,0)),IF(ISERROR(MATCH(A28,'liste reference'!$B$6:$B$1174,0)),"",(MATCH(A28,'liste reference'!$B$6:$B$1174,0))),(MATCH(A28,'liste reference'!$A$6:$A$1174,0)))</f>
        <v>118</v>
      </c>
    </row>
    <row r="29" customFormat="false" ht="12.75" hidden="false" customHeight="false" outlineLevel="0" collapsed="false">
      <c r="A29" s="489" t="s">
        <v>548</v>
      </c>
      <c r="B29" s="490"/>
      <c r="C29" s="491" t="n">
        <v>0.005</v>
      </c>
      <c r="D29" s="492" t="str">
        <f aca="false">IF(ISERROR(VLOOKUP($A29,'liste reference'!$A$6:$B$1174,2,0)),IF(ISERROR(VLOOKUP($A29,'liste reference'!$B$6:$B$1174,1,0)),"",VLOOKUP($A29,'liste reference'!$B$6:$B$1174,1,0)),VLOOKUP($A29,'liste reference'!$A$6:$B$1174,2,0))</f>
        <v>Pellia endiviifolia</v>
      </c>
      <c r="E29" s="493" t="e">
        <f aca="false">IF(D29="",0,VLOOKUP(D29,D$22:D28,1,0))</f>
        <v>#N/A</v>
      </c>
      <c r="F29" s="494" t="n">
        <f aca="false">IF(AND(OR(A29="",A29="!!!!!!"),B29="",C29=""),"",IF(OR(AND(B29="",C29=""),ISERROR(C29+B29)),"!!!",($B29*$B$7+$C29*$C$7)/100))</f>
        <v>0.00465</v>
      </c>
      <c r="G29" s="495" t="str">
        <f aca="false">IF(A29="","",IF(ISERROR(VLOOKUP($A29,'liste reference'!$A$6:$Q$1174,9,0)),IF(ISERROR(VLOOKUP($A29,'liste reference'!$B$6:$Q$1174,8,0)),"    -",VLOOKUP($A29,'liste reference'!$B$6:$Q$1174,8,0)),VLOOKUP($A29,'liste reference'!$A$6:$Q$1174,9,0)))</f>
        <v>BRh</v>
      </c>
      <c r="H29" s="496" t="n">
        <f aca="false">IF(A29="","x",IF(ISERROR(VLOOKUP($A29,'liste reference'!$A$6:$Q$1174,10,0)),IF(ISERROR(VLOOKUP($A29,'liste reference'!$B$6:$Q$1174,9,0)),"x",VLOOKUP($A29,'liste reference'!$B$6:$Q$1174,9,0)),VLOOKUP($A29,'liste reference'!$A$6:$Q$1174,10,0)))</f>
        <v>4</v>
      </c>
      <c r="I29" s="281" t="n">
        <f aca="false">IF(A29="","",1)</f>
        <v>1</v>
      </c>
      <c r="J29" s="497" t="str">
        <f aca="false">IF(ISNUMBER($H29),IF(ISERROR(VLOOKUP($A29,'liste reference'!$A$6:$Q$1174,6,0)),IF(ISERROR(VLOOKUP($A29,'liste reference'!$B$6:$Q$1174,5,0)),"nu",VLOOKUP($A29,'liste reference'!$B$6:$Q$1174,5,0)),VLOOKUP($A29,'liste reference'!$A$6:$Q$1174,6,0)),"nu")</f>
        <v>nc</v>
      </c>
      <c r="K29" s="497" t="str">
        <f aca="false">IF(ISNUMBER($H29),IF(ISERROR(VLOOKUP($A29,'liste reference'!$A$6:$Q$1174,7,0)),IF(ISERROR(VLOOKUP($A29,'liste reference'!$B$6:$Q$1174,6,0)),"nu",VLOOKUP($A29,'liste reference'!$B$6:$Q$1174,6,0)),VLOOKUP($A29,'liste reference'!$A$6:$Q$1174,7,0)),"nu")</f>
        <v>nc</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Pellia endiviifolia</v>
      </c>
      <c r="M29" s="498"/>
      <c r="N29" s="498"/>
      <c r="O29" s="498"/>
      <c r="P29" s="499" t="s">
        <v>3448</v>
      </c>
      <c r="Q29" s="500" t="n">
        <f aca="false">IF(OR($A29="NEWCOD",$A29="!!!!!!"),IF(X29="","NoCod",X29),IF($A29="","",IF(ISERROR(VLOOKUP($A29,'liste reference'!$A$6:$H$1174,8,0)),IF(ISERROR(VLOOKUP($A29,'liste reference'!$B$6:$H$1174,7,0)),"",VLOOKUP($A29,'liste reference'!$B$6:$H$1174,7,0)),VLOOKUP($A29,'liste reference'!$A$6:$H$1174,8,0))))</f>
        <v>1197</v>
      </c>
      <c r="R29" s="484" t="n">
        <f aca="false">IF(ISTEXT(H29),"",(B29*$B$7/100)+(C29*$C$7/100))</f>
        <v>0.00465</v>
      </c>
      <c r="S29" s="485" t="n">
        <f aca="false">IF(OR(ISTEXT(H29),R29=0),"",IF(R29&lt;0.1,1,IF(R29&lt;1,2,IF(R29&lt;10,3,IF(R29&lt;50,4,IF(R29&gt;=50,5,""))))))</f>
        <v>1</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PELEND</v>
      </c>
      <c r="Z29" s="470" t="n">
        <f aca="false">IF(ISERROR(MATCH(A29,'liste reference'!$A$6:$A$1174,0)),IF(ISERROR(MATCH(A29,'liste reference'!$B$6:$B$1174,0)),"",(MATCH(A29,'liste reference'!$B$6:$B$1174,0))),(MATCH(A29,'liste reference'!$A$6:$A$1174,0)))</f>
        <v>167</v>
      </c>
    </row>
    <row r="30" customFormat="false" ht="12.75" hidden="false" customHeight="false" outlineLevel="0" collapsed="false">
      <c r="A30" s="489" t="s">
        <v>707</v>
      </c>
      <c r="B30" s="490" t="n">
        <v>15</v>
      </c>
      <c r="C30" s="491" t="n">
        <v>0.5</v>
      </c>
      <c r="D30" s="492" t="str">
        <f aca="false">IF(ISERROR(VLOOKUP($A30,'liste reference'!$A$6:$B$1174,2,0)),IF(ISERROR(VLOOKUP($A30,'liste reference'!$B$6:$B$1174,1,0)),"",VLOOKUP($A30,'liste reference'!$B$6:$B$1174,1,0)),VLOOKUP($A30,'liste reference'!$A$6:$B$1174,2,0))</f>
        <v>Cinclidotus danubicus</v>
      </c>
      <c r="E30" s="493" t="e">
        <f aca="false">IF(D30="",0,VLOOKUP(D30,D$22:D29,1,0))</f>
        <v>#N/A</v>
      </c>
      <c r="F30" s="494" t="n">
        <f aca="false">IF(AND(OR(A30="",A30="!!!!!!"),B30="",C30=""),"",IF(OR(AND(B30="",C30=""),ISERROR(C30+B30)),"!!!",($B30*$B$7+$C30*$C$7)/100))</f>
        <v>1.515</v>
      </c>
      <c r="G30" s="495" t="str">
        <f aca="false">IF(A30="","",IF(ISERROR(VLOOKUP($A30,'liste reference'!$A$6:$Q$1174,9,0)),IF(ISERROR(VLOOKUP($A30,'liste reference'!$B$6:$Q$1174,8,0)),"    -",VLOOKUP($A30,'liste reference'!$B$6:$Q$1174,8,0)),VLOOKUP($A30,'liste reference'!$A$6:$Q$1174,9,0)))</f>
        <v>BRm</v>
      </c>
      <c r="H30" s="496" t="n">
        <f aca="false">IF(A30="","x",IF(ISERROR(VLOOKUP($A30,'liste reference'!$A$6:$Q$1174,10,0)),IF(ISERROR(VLOOKUP($A30,'liste reference'!$B$6:$Q$1174,9,0)),"x",VLOOKUP($A30,'liste reference'!$B$6:$Q$1174,9,0)),VLOOKUP($A30,'liste reference'!$A$6:$Q$1174,10,0)))</f>
        <v>5</v>
      </c>
      <c r="I30" s="281" t="n">
        <f aca="false">IF(A30="","",1)</f>
        <v>1</v>
      </c>
      <c r="J30" s="497" t="n">
        <f aca="false">IF(ISNUMBER($H30),IF(ISERROR(VLOOKUP($A30,'liste reference'!$A$6:$Q$1174,6,0)),IF(ISERROR(VLOOKUP($A30,'liste reference'!$B$6:$Q$1174,5,0)),"nu",VLOOKUP($A30,'liste reference'!$B$6:$Q$1174,5,0)),VLOOKUP($A30,'liste reference'!$A$6:$Q$1174,6,0)),"nu")</f>
        <v>13</v>
      </c>
      <c r="K30" s="497" t="n">
        <f aca="false">IF(ISNUMBER($H30),IF(ISERROR(VLOOKUP($A30,'liste reference'!$A$6:$Q$1174,7,0)),IF(ISERROR(VLOOKUP($A30,'liste reference'!$B$6:$Q$1174,6,0)),"nu",VLOOKUP($A30,'liste reference'!$B$6:$Q$1174,6,0)),VLOOKUP($A30,'liste reference'!$A$6:$Q$1174,7,0)),"nu")</f>
        <v>3</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Cinclidotus danubicus</v>
      </c>
      <c r="M30" s="498"/>
      <c r="N30" s="498"/>
      <c r="O30" s="498"/>
      <c r="P30" s="499" t="s">
        <v>3448</v>
      </c>
      <c r="Q30" s="500" t="n">
        <f aca="false">IF(OR($A30="NEWCOD",$A30="!!!!!!"),IF(X30="","NoCod",X30),IF($A30="","",IF(ISERROR(VLOOKUP($A30,'liste reference'!$A$6:$H$1174,8,0)),IF(ISERROR(VLOOKUP($A30,'liste reference'!$B$6:$H$1174,7,0)),"",VLOOKUP($A30,'liste reference'!$B$6:$H$1174,7,0)),VLOOKUP($A30,'liste reference'!$A$6:$H$1174,8,0))))</f>
        <v>1319</v>
      </c>
      <c r="R30" s="484" t="n">
        <f aca="false">IF(ISTEXT(H30),"",(B30*$B$7/100)+(C30*$C$7/100))</f>
        <v>1.515</v>
      </c>
      <c r="S30" s="485" t="n">
        <f aca="false">IF(OR(ISTEXT(H30),R30=0),"",IF(R30&lt;0.1,1,IF(R30&lt;1,2,IF(R30&lt;10,3,IF(R30&lt;50,4,IF(R30&gt;=50,5,""))))))</f>
        <v>3</v>
      </c>
      <c r="T30" s="485" t="n">
        <f aca="false">IF(ISERROR(S30*J30),0,S30*J30)</f>
        <v>39</v>
      </c>
      <c r="U30" s="485" t="n">
        <f aca="false">IF(ISERROR(S30*J30*K30),0,S30*J30*K30)</f>
        <v>117</v>
      </c>
      <c r="V30" s="501" t="n">
        <f aca="false">IF(ISERROR(S30*K30),0,S30*K30)</f>
        <v>9</v>
      </c>
      <c r="W30" s="502"/>
      <c r="X30" s="503"/>
      <c r="Y30" s="488" t="str">
        <f aca="false">IF(AND(ISNUMBER(F30),OR(A30="",A30="!!!!!!")),"!!!!!!",IF(A30="new.cod","NEWCOD",IF(AND((Z30=""),ISTEXT(A30),A30&lt;&gt;"!!!!!!"),A30,IF(Z30="","",INDEX('liste reference'!$A$6:$A$1174,Z30)))))</f>
        <v>CINDAN</v>
      </c>
      <c r="Z30" s="470" t="n">
        <f aca="false">IF(ISERROR(MATCH(A30,'liste reference'!$A$6:$A$1174,0)),IF(ISERROR(MATCH(A30,'liste reference'!$B$6:$B$1174,0)),"",(MATCH(A30,'liste reference'!$B$6:$B$1174,0))),(MATCH(A30,'liste reference'!$A$6:$A$1174,0)))</f>
        <v>222</v>
      </c>
    </row>
    <row r="31" customFormat="false" ht="12.75" hidden="false" customHeight="false" outlineLevel="0" collapsed="false">
      <c r="A31" s="489" t="s">
        <v>712</v>
      </c>
      <c r="B31" s="490"/>
      <c r="C31" s="491" t="n">
        <v>0.01</v>
      </c>
      <c r="D31" s="492" t="str">
        <f aca="false">IF(ISERROR(VLOOKUP($A31,'liste reference'!$A$6:$B$1174,2,0)),IF(ISERROR(VLOOKUP($A31,'liste reference'!$B$6:$B$1174,1,0)),"",VLOOKUP($A31,'liste reference'!$B$6:$B$1174,1,0)),VLOOKUP($A31,'liste reference'!$A$6:$B$1174,2,0))</f>
        <v>Cinclidotus riparius</v>
      </c>
      <c r="E31" s="493" t="e">
        <f aca="false">IF(D31="",0,VLOOKUP(D31,D$22:D30,1,0))</f>
        <v>#N/A</v>
      </c>
      <c r="F31" s="494" t="n">
        <f aca="false">IF(AND(OR(A31="",A31="!!!!!!"),B31="",C31=""),"",IF(OR(AND(B31="",C31=""),ISERROR(C31+B31)),"!!!",($B31*$B$7+$C31*$C$7)/100))</f>
        <v>0.0093</v>
      </c>
      <c r="G31" s="495" t="str">
        <f aca="false">IF(A31="","",IF(ISERROR(VLOOKUP($A31,'liste reference'!$A$6:$Q$1174,9,0)),IF(ISERROR(VLOOKUP($A31,'liste reference'!$B$6:$Q$1174,8,0)),"    -",VLOOKUP($A31,'liste reference'!$B$6:$Q$1174,8,0)),VLOOKUP($A31,'liste reference'!$A$6:$Q$1174,9,0)))</f>
        <v>BRm</v>
      </c>
      <c r="H31" s="496" t="n">
        <f aca="false">IF(A31="","x",IF(ISERROR(VLOOKUP($A31,'liste reference'!$A$6:$Q$1174,10,0)),IF(ISERROR(VLOOKUP($A31,'liste reference'!$B$6:$Q$1174,9,0)),"x",VLOOKUP($A31,'liste reference'!$B$6:$Q$1174,9,0)),VLOOKUP($A31,'liste reference'!$A$6:$Q$1174,10,0)))</f>
        <v>5</v>
      </c>
      <c r="I31" s="281" t="n">
        <f aca="false">IF(A31="","",1)</f>
        <v>1</v>
      </c>
      <c r="J31" s="497" t="n">
        <f aca="false">IF(ISNUMBER($H31),IF(ISERROR(VLOOKUP($A31,'liste reference'!$A$6:$Q$1174,6,0)),IF(ISERROR(VLOOKUP($A31,'liste reference'!$B$6:$Q$1174,5,0)),"nu",VLOOKUP($A31,'liste reference'!$B$6:$Q$1174,5,0)),VLOOKUP($A31,'liste reference'!$A$6:$Q$1174,6,0)),"nu")</f>
        <v>13</v>
      </c>
      <c r="K31" s="497" t="n">
        <f aca="false">IF(ISNUMBER($H31),IF(ISERROR(VLOOKUP($A31,'liste reference'!$A$6:$Q$1174,7,0)),IF(ISERROR(VLOOKUP($A31,'liste reference'!$B$6:$Q$1174,6,0)),"nu",VLOOKUP($A31,'liste reference'!$B$6:$Q$1174,6,0)),VLOOKUP($A31,'liste reference'!$A$6:$Q$1174,7,0)),"nu")</f>
        <v>2</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Cinclidotus riparius</v>
      </c>
      <c r="M31" s="498"/>
      <c r="N31" s="498"/>
      <c r="O31" s="498"/>
      <c r="P31" s="499" t="s">
        <v>3448</v>
      </c>
      <c r="Q31" s="500" t="n">
        <f aca="false">IF(OR($A31="NEWCOD",$A31="!!!!!!"),IF(X31="","NoCod",X31),IF($A31="","",IF(ISERROR(VLOOKUP($A31,'liste reference'!$A$6:$H$1174,8,0)),IF(ISERROR(VLOOKUP($A31,'liste reference'!$B$6:$H$1174,7,0)),"",VLOOKUP($A31,'liste reference'!$B$6:$H$1174,7,0)),VLOOKUP($A31,'liste reference'!$A$6:$H$1174,8,0))))</f>
        <v>1321</v>
      </c>
      <c r="R31" s="484" t="n">
        <f aca="false">IF(ISTEXT(H31),"",(B31*$B$7/100)+(C31*$C$7/100))</f>
        <v>0.0093</v>
      </c>
      <c r="S31" s="485" t="n">
        <f aca="false">IF(OR(ISTEXT(H31),R31=0),"",IF(R31&lt;0.1,1,IF(R31&lt;1,2,IF(R31&lt;10,3,IF(R31&lt;50,4,IF(R31&gt;=50,5,""))))))</f>
        <v>1</v>
      </c>
      <c r="T31" s="485" t="n">
        <f aca="false">IF(ISERROR(S31*J31),0,S31*J31)</f>
        <v>13</v>
      </c>
      <c r="U31" s="485" t="n">
        <f aca="false">IF(ISERROR(S31*J31*K31),0,S31*J31*K31)</f>
        <v>26</v>
      </c>
      <c r="V31" s="501" t="n">
        <f aca="false">IF(ISERROR(S31*K31),0,S31*K31)</f>
        <v>2</v>
      </c>
      <c r="W31" s="502"/>
      <c r="X31" s="503"/>
      <c r="Y31" s="488" t="str">
        <f aca="false">IF(AND(ISNUMBER(F31),OR(A31="",A31="!!!!!!")),"!!!!!!",IF(A31="new.cod","NEWCOD",IF(AND((Z31=""),ISTEXT(A31),A31&lt;&gt;"!!!!!!"),A31,IF(Z31="","",INDEX('liste reference'!$A$6:$A$1174,Z31)))))</f>
        <v>CINRIP</v>
      </c>
      <c r="Z31" s="470" t="n">
        <f aca="false">IF(ISERROR(MATCH(A31,'liste reference'!$A$6:$A$1174,0)),IF(ISERROR(MATCH(A31,'liste reference'!$B$6:$B$1174,0)),"",(MATCH(A31,'liste reference'!$B$6:$B$1174,0))),(MATCH(A31,'liste reference'!$A$6:$A$1174,0)))</f>
        <v>224</v>
      </c>
    </row>
    <row r="32" customFormat="false" ht="12.75" hidden="false" customHeight="false" outlineLevel="0" collapsed="false">
      <c r="A32" s="489" t="s">
        <v>830</v>
      </c>
      <c r="B32" s="490" t="n">
        <v>5</v>
      </c>
      <c r="C32" s="491" t="n">
        <v>1</v>
      </c>
      <c r="D32" s="492" t="str">
        <f aca="false">IF(ISERROR(VLOOKUP($A32,'liste reference'!$A$6:$B$1174,2,0)),IF(ISERROR(VLOOKUP($A32,'liste reference'!$B$6:$B$1174,1,0)),"",VLOOKUP($A32,'liste reference'!$B$6:$B$1174,1,0)),VLOOKUP($A32,'liste reference'!$A$6:$B$1174,2,0))</f>
        <v>Fissidens crassipes</v>
      </c>
      <c r="E32" s="493" t="e">
        <f aca="false">IF(D32="",0,VLOOKUP(D32,D$22:D31,1,0))</f>
        <v>#N/A</v>
      </c>
      <c r="F32" s="494" t="n">
        <f aca="false">IF(AND(OR(A32="",A32="!!!!!!"),B32="",C32=""),"",IF(OR(AND(B32="",C32=""),ISERROR(C32+B32)),"!!!",($B32*$B$7+$C32*$C$7)/100))</f>
        <v>1.28</v>
      </c>
      <c r="G32" s="495" t="str">
        <f aca="false">IF(A32="","",IF(ISERROR(VLOOKUP($A32,'liste reference'!$A$6:$Q$1174,9,0)),IF(ISERROR(VLOOKUP($A32,'liste reference'!$B$6:$Q$1174,8,0)),"    -",VLOOKUP($A32,'liste reference'!$B$6:$Q$1174,8,0)),VLOOKUP($A32,'liste reference'!$A$6:$Q$1174,9,0)))</f>
        <v>BRm</v>
      </c>
      <c r="H32" s="496" t="n">
        <f aca="false">IF(A32="","x",IF(ISERROR(VLOOKUP($A32,'liste reference'!$A$6:$Q$1174,10,0)),IF(ISERROR(VLOOKUP($A32,'liste reference'!$B$6:$Q$1174,9,0)),"x",VLOOKUP($A32,'liste reference'!$B$6:$Q$1174,9,0)),VLOOKUP($A32,'liste reference'!$A$6:$Q$1174,10,0)))</f>
        <v>5</v>
      </c>
      <c r="I32" s="281" t="n">
        <f aca="false">IF(A32="","",1)</f>
        <v>1</v>
      </c>
      <c r="J32" s="497" t="n">
        <f aca="false">IF(ISNUMBER($H32),IF(ISERROR(VLOOKUP($A32,'liste reference'!$A$6:$Q$1174,6,0)),IF(ISERROR(VLOOKUP($A32,'liste reference'!$B$6:$Q$1174,5,0)),"nu",VLOOKUP($A32,'liste reference'!$B$6:$Q$1174,5,0)),VLOOKUP($A32,'liste reference'!$A$6:$Q$1174,6,0)),"nu")</f>
        <v>12</v>
      </c>
      <c r="K32" s="497" t="n">
        <f aca="false">IF(ISNUMBER($H32),IF(ISERROR(VLOOKUP($A32,'liste reference'!$A$6:$Q$1174,7,0)),IF(ISERROR(VLOOKUP($A32,'liste reference'!$B$6:$Q$1174,6,0)),"nu",VLOOKUP($A32,'liste reference'!$B$6:$Q$1174,6,0)),VLOOKUP($A32,'liste reference'!$A$6:$Q$1174,7,0)),"nu")</f>
        <v>2</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Fissidens crassipes</v>
      </c>
      <c r="M32" s="498"/>
      <c r="N32" s="498"/>
      <c r="O32" s="498"/>
      <c r="P32" s="499" t="s">
        <v>3448</v>
      </c>
      <c r="Q32" s="500" t="n">
        <f aca="false">IF(OR($A32="NEWCOD",$A32="!!!!!!"),IF(X32="","NoCod",X32),IF($A32="","",IF(ISERROR(VLOOKUP($A32,'liste reference'!$A$6:$H$1174,8,0)),IF(ISERROR(VLOOKUP($A32,'liste reference'!$B$6:$H$1174,7,0)),"",VLOOKUP($A32,'liste reference'!$B$6:$H$1174,7,0)),VLOOKUP($A32,'liste reference'!$A$6:$H$1174,8,0))))</f>
        <v>1294</v>
      </c>
      <c r="R32" s="484" t="n">
        <f aca="false">IF(ISTEXT(H32),"",(B32*$B$7/100)+(C32*$C$7/100))</f>
        <v>1.28</v>
      </c>
      <c r="S32" s="485" t="n">
        <f aca="false">IF(OR(ISTEXT(H32),R32=0),"",IF(R32&lt;0.1,1,IF(R32&lt;1,2,IF(R32&lt;10,3,IF(R32&lt;50,4,IF(R32&gt;=50,5,""))))))</f>
        <v>3</v>
      </c>
      <c r="T32" s="485" t="n">
        <f aca="false">IF(ISERROR(S32*J32),0,S32*J32)</f>
        <v>36</v>
      </c>
      <c r="U32" s="485" t="n">
        <f aca="false">IF(ISERROR(S32*J32*K32),0,S32*J32*K32)</f>
        <v>72</v>
      </c>
      <c r="V32" s="501" t="n">
        <f aca="false">IF(ISERROR(S32*K32),0,S32*K32)</f>
        <v>6</v>
      </c>
      <c r="W32" s="502"/>
      <c r="X32" s="503"/>
      <c r="Y32" s="488" t="str">
        <f aca="false">IF(AND(ISNUMBER(F32),OR(A32="",A32="!!!!!!")),"!!!!!!",IF(A32="new.cod","NEWCOD",IF(AND((Z32=""),ISTEXT(A32),A32&lt;&gt;"!!!!!!"),A32,IF(Z32="","",INDEX('liste reference'!$A$6:$A$1174,Z32)))))</f>
        <v>FISCRA</v>
      </c>
      <c r="Z32" s="470" t="n">
        <f aca="false">IF(ISERROR(MATCH(A32,'liste reference'!$A$6:$A$1174,0)),IF(ISERROR(MATCH(A32,'liste reference'!$B$6:$B$1174,0)),"",(MATCH(A32,'liste reference'!$B$6:$B$1174,0))),(MATCH(A32,'liste reference'!$A$6:$A$1174,0)))</f>
        <v>255</v>
      </c>
    </row>
    <row r="33" customFormat="false" ht="12.75" hidden="false" customHeight="false" outlineLevel="0" collapsed="false">
      <c r="A33" s="489" t="s">
        <v>844</v>
      </c>
      <c r="B33" s="490" t="n">
        <v>0.5</v>
      </c>
      <c r="C33" s="491" t="n">
        <v>0.5</v>
      </c>
      <c r="D33" s="492" t="str">
        <f aca="false">IF(ISERROR(VLOOKUP($A33,'liste reference'!$A$6:$B$1174,2,0)),IF(ISERROR(VLOOKUP($A33,'liste reference'!$B$6:$B$1174,1,0)),"",VLOOKUP($A33,'liste reference'!$B$6:$B$1174,1,0)),VLOOKUP($A33,'liste reference'!$A$6:$B$1174,2,0))</f>
        <v>Fissidens fontanus</v>
      </c>
      <c r="E33" s="493" t="e">
        <f aca="false">IF(D33="",0,VLOOKUP(D33,D$22:D32,1,0))</f>
        <v>#N/A</v>
      </c>
      <c r="F33" s="494" t="n">
        <f aca="false">IF(AND(OR(A33="",A33="!!!!!!"),B33="",C33=""),"",IF(OR(AND(B33="",C33=""),ISERROR(C33+B33)),"!!!",($B33*$B$7+$C33*$C$7)/100))</f>
        <v>0.5</v>
      </c>
      <c r="G33" s="495" t="str">
        <f aca="false">IF(A33="","",IF(ISERROR(VLOOKUP($A33,'liste reference'!$A$6:$Q$1174,9,0)),IF(ISERROR(VLOOKUP($A33,'liste reference'!$B$6:$Q$1174,8,0)),"    -",VLOOKUP($A33,'liste reference'!$B$6:$Q$1174,8,0)),VLOOKUP($A33,'liste reference'!$A$6:$Q$1174,9,0)))</f>
        <v>BRm</v>
      </c>
      <c r="H33" s="496" t="n">
        <f aca="false">IF(A33="","x",IF(ISERROR(VLOOKUP($A33,'liste reference'!$A$6:$Q$1174,10,0)),IF(ISERROR(VLOOKUP($A33,'liste reference'!$B$6:$Q$1174,9,0)),"x",VLOOKUP($A33,'liste reference'!$B$6:$Q$1174,9,0)),VLOOKUP($A33,'liste reference'!$A$6:$Q$1174,10,0)))</f>
        <v>5</v>
      </c>
      <c r="I33" s="281" t="n">
        <f aca="false">IF(A33="","",1)</f>
        <v>1</v>
      </c>
      <c r="J33" s="497" t="n">
        <f aca="false">IF(ISNUMBER($H33),IF(ISERROR(VLOOKUP($A33,'liste reference'!$A$6:$Q$1174,6,0)),IF(ISERROR(VLOOKUP($A33,'liste reference'!$B$6:$Q$1174,5,0)),"nu",VLOOKUP($A33,'liste reference'!$B$6:$Q$1174,5,0)),VLOOKUP($A33,'liste reference'!$A$6:$Q$1174,6,0)),"nu")</f>
        <v>7</v>
      </c>
      <c r="K33" s="497" t="n">
        <f aca="false">IF(ISNUMBER($H33),IF(ISERROR(VLOOKUP($A33,'liste reference'!$A$6:$Q$1174,7,0)),IF(ISERROR(VLOOKUP($A33,'liste reference'!$B$6:$Q$1174,6,0)),"nu",VLOOKUP($A33,'liste reference'!$B$6:$Q$1174,6,0)),VLOOKUP($A33,'liste reference'!$A$6:$Q$1174,7,0)),"nu")</f>
        <v>3</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Fissidens fontanus</v>
      </c>
      <c r="M33" s="498"/>
      <c r="N33" s="498"/>
      <c r="O33" s="498"/>
      <c r="P33" s="499" t="s">
        <v>3448</v>
      </c>
      <c r="Q33" s="500" t="n">
        <f aca="false">IF(OR($A33="NEWCOD",$A33="!!!!!!"),IF(X33="","NoCod",X33),IF($A33="","",IF(ISERROR(VLOOKUP($A33,'liste reference'!$A$6:$H$1174,8,0)),IF(ISERROR(VLOOKUP($A33,'liste reference'!$B$6:$H$1174,7,0)),"",VLOOKUP($A33,'liste reference'!$B$6:$H$1174,7,0)),VLOOKUP($A33,'liste reference'!$A$6:$H$1174,8,0))))</f>
        <v>31545</v>
      </c>
      <c r="R33" s="484" t="n">
        <f aca="false">IF(ISTEXT(H33),"",(B33*$B$7/100)+(C33*$C$7/100))</f>
        <v>0.5</v>
      </c>
      <c r="S33" s="485" t="n">
        <f aca="false">IF(OR(ISTEXT(H33),R33=0),"",IF(R33&lt;0.1,1,IF(R33&lt;1,2,IF(R33&lt;10,3,IF(R33&lt;50,4,IF(R33&gt;=50,5,""))))))</f>
        <v>2</v>
      </c>
      <c r="T33" s="485" t="n">
        <f aca="false">IF(ISERROR(S33*J33),0,S33*J33)</f>
        <v>14</v>
      </c>
      <c r="U33" s="485" t="n">
        <f aca="false">IF(ISERROR(S33*J33*K33),0,S33*J33*K33)</f>
        <v>42</v>
      </c>
      <c r="V33" s="501" t="n">
        <f aca="false">IF(ISERROR(S33*K33),0,S33*K33)</f>
        <v>6</v>
      </c>
      <c r="W33" s="502"/>
      <c r="X33" s="503"/>
      <c r="Y33" s="488" t="str">
        <f aca="false">IF(AND(ISNUMBER(F33),OR(A33="",A33="!!!!!!")),"!!!!!!",IF(A33="new.cod","NEWCOD",IF(AND((Z33=""),ISTEXT(A33),A33&lt;&gt;"!!!!!!"),A33,IF(Z33="","",INDEX('liste reference'!$A$6:$A$1174,Z33)))))</f>
        <v>FISFON</v>
      </c>
      <c r="Z33" s="470" t="n">
        <f aca="false">IF(ISERROR(MATCH(A33,'liste reference'!$A$6:$A$1174,0)),IF(ISERROR(MATCH(A33,'liste reference'!$B$6:$B$1174,0)),"",(MATCH(A33,'liste reference'!$B$6:$B$1174,0))),(MATCH(A33,'liste reference'!$A$6:$A$1174,0)))</f>
        <v>259</v>
      </c>
    </row>
    <row r="34" customFormat="false" ht="12.75" hidden="false" customHeight="false" outlineLevel="0" collapsed="false">
      <c r="A34" s="489" t="s">
        <v>889</v>
      </c>
      <c r="B34" s="490" t="n">
        <v>0.2</v>
      </c>
      <c r="C34" s="491" t="n">
        <v>2</v>
      </c>
      <c r="D34" s="492" t="str">
        <f aca="false">IF(ISERROR(VLOOKUP($A34,'liste reference'!$A$6:$B$1174,2,0)),IF(ISERROR(VLOOKUP($A34,'liste reference'!$B$6:$B$1174,1,0)),"",VLOOKUP($A34,'liste reference'!$B$6:$B$1174,1,0)),VLOOKUP($A34,'liste reference'!$A$6:$B$1174,2,0))</f>
        <v>Fontinalis antipyretica</v>
      </c>
      <c r="E34" s="493" t="e">
        <f aca="false">IF(D34="",0,VLOOKUP(D34,D$22:D33,1,0))</f>
        <v>#N/A</v>
      </c>
      <c r="F34" s="494" t="n">
        <f aca="false">IF(AND(OR(A34="",A34="!!!!!!"),B34="",C34=""),"",IF(OR(AND(B34="",C34=""),ISERROR(C34+B34)),"!!!",($B34*$B$7+$C34*$C$7)/100))</f>
        <v>1.874</v>
      </c>
      <c r="G34" s="495" t="str">
        <f aca="false">IF(A34="","",IF(ISERROR(VLOOKUP($A34,'liste reference'!$A$6:$Q$1174,9,0)),IF(ISERROR(VLOOKUP($A34,'liste reference'!$B$6:$Q$1174,8,0)),"    -",VLOOKUP($A34,'liste reference'!$B$6:$Q$1174,8,0)),VLOOKUP($A34,'liste reference'!$A$6:$Q$1174,9,0)))</f>
        <v>BRm</v>
      </c>
      <c r="H34" s="496" t="n">
        <f aca="false">IF(A34="","x",IF(ISERROR(VLOOKUP($A34,'liste reference'!$A$6:$Q$1174,10,0)),IF(ISERROR(VLOOKUP($A34,'liste reference'!$B$6:$Q$1174,9,0)),"x",VLOOKUP($A34,'liste reference'!$B$6:$Q$1174,9,0)),VLOOKUP($A34,'liste reference'!$A$6:$Q$1174,10,0)))</f>
        <v>5</v>
      </c>
      <c r="I34" s="281" t="n">
        <f aca="false">IF(A34="","",1)</f>
        <v>1</v>
      </c>
      <c r="J34" s="497" t="n">
        <f aca="false">IF(ISNUMBER($H34),IF(ISERROR(VLOOKUP($A34,'liste reference'!$A$6:$Q$1174,6,0)),IF(ISERROR(VLOOKUP($A34,'liste reference'!$B$6:$Q$1174,5,0)),"nu",VLOOKUP($A34,'liste reference'!$B$6:$Q$1174,5,0)),VLOOKUP($A34,'liste reference'!$A$6:$Q$1174,6,0)),"nu")</f>
        <v>10</v>
      </c>
      <c r="K34" s="497" t="n">
        <f aca="false">IF(ISNUMBER($H34),IF(ISERROR(VLOOKUP($A34,'liste reference'!$A$6:$Q$1174,7,0)),IF(ISERROR(VLOOKUP($A34,'liste reference'!$B$6:$Q$1174,6,0)),"nu",VLOOKUP($A34,'liste reference'!$B$6:$Q$1174,6,0)),VLOOKUP($A34,'liste reference'!$A$6:$Q$1174,7,0)),"nu")</f>
        <v>1</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Fontinalis antipyretica</v>
      </c>
      <c r="M34" s="498"/>
      <c r="N34" s="498"/>
      <c r="O34" s="498"/>
      <c r="P34" s="499" t="s">
        <v>3448</v>
      </c>
      <c r="Q34" s="500" t="n">
        <f aca="false">IF(OR($A34="NEWCOD",$A34="!!!!!!"),IF(X34="","NoCod",X34),IF($A34="","",IF(ISERROR(VLOOKUP($A34,'liste reference'!$A$6:$H$1174,8,0)),IF(ISERROR(VLOOKUP($A34,'liste reference'!$B$6:$H$1174,7,0)),"",VLOOKUP($A34,'liste reference'!$B$6:$H$1174,7,0)),VLOOKUP($A34,'liste reference'!$A$6:$H$1174,8,0))))</f>
        <v>1310</v>
      </c>
      <c r="R34" s="484" t="n">
        <f aca="false">IF(ISTEXT(H34),"",(B34*$B$7/100)+(C34*$C$7/100))</f>
        <v>1.874</v>
      </c>
      <c r="S34" s="485" t="n">
        <f aca="false">IF(OR(ISTEXT(H34),R34=0),"",IF(R34&lt;0.1,1,IF(R34&lt;1,2,IF(R34&lt;10,3,IF(R34&lt;50,4,IF(R34&gt;=50,5,""))))))</f>
        <v>3</v>
      </c>
      <c r="T34" s="485" t="n">
        <f aca="false">IF(ISERROR(S34*J34),0,S34*J34)</f>
        <v>30</v>
      </c>
      <c r="U34" s="485" t="n">
        <f aca="false">IF(ISERROR(S34*J34*K34),0,S34*J34*K34)</f>
        <v>30</v>
      </c>
      <c r="V34" s="501" t="n">
        <f aca="false">IF(ISERROR(S34*K34),0,S34*K34)</f>
        <v>3</v>
      </c>
      <c r="W34" s="502"/>
      <c r="X34" s="503"/>
      <c r="Y34" s="488" t="str">
        <f aca="false">IF(AND(ISNUMBER(F34),OR(A34="",A34="!!!!!!")),"!!!!!!",IF(A34="new.cod","NEWCOD",IF(AND((Z34=""),ISTEXT(A34),A34&lt;&gt;"!!!!!!"),A34,IF(Z34="","",INDEX('liste reference'!$A$6:$A$1174,Z34)))))</f>
        <v>FONANT</v>
      </c>
      <c r="Z34" s="470" t="n">
        <f aca="false">IF(ISERROR(MATCH(A34,'liste reference'!$A$6:$A$1174,0)),IF(ISERROR(MATCH(A34,'liste reference'!$B$6:$B$1174,0)),"",(MATCH(A34,'liste reference'!$B$6:$B$1174,0))),(MATCH(A34,'liste reference'!$A$6:$A$1174,0)))</f>
        <v>273</v>
      </c>
    </row>
    <row r="35" customFormat="false" ht="12.75" hidden="false" customHeight="false" outlineLevel="0" collapsed="false">
      <c r="A35" s="489" t="s">
        <v>1004</v>
      </c>
      <c r="B35" s="490"/>
      <c r="C35" s="491" t="n">
        <v>0.01</v>
      </c>
      <c r="D35" s="492" t="str">
        <f aca="false">IF(ISERROR(VLOOKUP($A35,'liste reference'!$A$6:$B$1174,2,0)),IF(ISERROR(VLOOKUP($A35,'liste reference'!$B$6:$B$1174,1,0)),"",VLOOKUP($A35,'liste reference'!$B$6:$B$1174,1,0)),VLOOKUP($A35,'liste reference'!$A$6:$B$1174,2,0))</f>
        <v>Oxyrrhynchium speciosum </v>
      </c>
      <c r="E35" s="493" t="e">
        <f aca="false">IF(D35="",0,VLOOKUP(D35,D$22:D34,1,0))</f>
        <v>#N/A</v>
      </c>
      <c r="F35" s="494" t="n">
        <f aca="false">IF(AND(OR(A35="",A35="!!!!!!"),B35="",C35=""),"",IF(OR(AND(B35="",C35=""),ISERROR(C35+B35)),"!!!",($B35*$B$7+$C35*$C$7)/100))</f>
        <v>0.0093</v>
      </c>
      <c r="G35" s="495" t="str">
        <f aca="false">IF(A35="","",IF(ISERROR(VLOOKUP($A35,'liste reference'!$A$6:$Q$1174,9,0)),IF(ISERROR(VLOOKUP($A35,'liste reference'!$B$6:$Q$1174,8,0)),"    -",VLOOKUP($A35,'liste reference'!$B$6:$Q$1174,8,0)),VLOOKUP($A35,'liste reference'!$A$6:$Q$1174,9,0)))</f>
        <v>BRm</v>
      </c>
      <c r="H35" s="496" t="n">
        <f aca="false">IF(A35="","x",IF(ISERROR(VLOOKUP($A35,'liste reference'!$A$6:$Q$1174,10,0)),IF(ISERROR(VLOOKUP($A35,'liste reference'!$B$6:$Q$1174,9,0)),"x",VLOOKUP($A35,'liste reference'!$B$6:$Q$1174,9,0)),VLOOKUP($A35,'liste reference'!$A$6:$Q$1174,10,0)))</f>
        <v>5</v>
      </c>
      <c r="I35" s="281" t="n">
        <f aca="false">IF(A35="","",1)</f>
        <v>1</v>
      </c>
      <c r="J35" s="497" t="str">
        <f aca="false">IF(ISNUMBER($H35),IF(ISERROR(VLOOKUP($A35,'liste reference'!$A$6:$Q$1174,6,0)),IF(ISERROR(VLOOKUP($A35,'liste reference'!$B$6:$Q$1174,5,0)),"nu",VLOOKUP($A35,'liste reference'!$B$6:$Q$1174,5,0)),VLOOKUP($A35,'liste reference'!$A$6:$Q$1174,6,0)),"nu")</f>
        <v>nc</v>
      </c>
      <c r="K35" s="497" t="str">
        <f aca="false">IF(ISNUMBER($H35),IF(ISERROR(VLOOKUP($A35,'liste reference'!$A$6:$Q$1174,7,0)),IF(ISERROR(VLOOKUP($A35,'liste reference'!$B$6:$Q$1174,6,0)),"nu",VLOOKUP($A35,'liste reference'!$B$6:$Q$1174,6,0)),VLOOKUP($A35,'liste reference'!$A$6:$Q$1174,7,0)),"nu")</f>
        <v>nc</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Oxyrrhynchium speciosum </v>
      </c>
      <c r="M35" s="498"/>
      <c r="N35" s="498"/>
      <c r="O35" s="498"/>
      <c r="P35" s="499" t="s">
        <v>3448</v>
      </c>
      <c r="Q35" s="500" t="n">
        <f aca="false">IF(OR($A35="NEWCOD",$A35="!!!!!!"),IF(X35="","NoCod",X35),IF($A35="","",IF(ISERROR(VLOOKUP($A35,'liste reference'!$A$6:$H$1174,8,0)),IF(ISERROR(VLOOKUP($A35,'liste reference'!$B$6:$H$1174,7,0)),"",VLOOKUP($A35,'liste reference'!$B$6:$H$1174,7,0)),VLOOKUP($A35,'liste reference'!$A$6:$H$1174,8,0))))</f>
        <v>30099</v>
      </c>
      <c r="R35" s="484" t="n">
        <f aca="false">IF(ISTEXT(H35),"",(B35*$B$7/100)+(C35*$C$7/100))</f>
        <v>0.0093</v>
      </c>
      <c r="S35" s="485" t="n">
        <f aca="false">IF(OR(ISTEXT(H35),R35=0),"",IF(R35&lt;0.1,1,IF(R35&lt;1,2,IF(R35&lt;10,3,IF(R35&lt;50,4,IF(R35&gt;=50,5,""))))))</f>
        <v>1</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OXYSPE</v>
      </c>
      <c r="Z35" s="470" t="n">
        <f aca="false">IF(ISERROR(MATCH(A35,'liste reference'!$A$6:$A$1174,0)),IF(ISERROR(MATCH(A35,'liste reference'!$B$6:$B$1174,0)),"",(MATCH(A35,'liste reference'!$B$6:$B$1174,0))),(MATCH(A35,'liste reference'!$A$6:$A$1174,0)))</f>
        <v>308</v>
      </c>
    </row>
    <row r="36" customFormat="false" ht="12.75" hidden="false" customHeight="false" outlineLevel="0" collapsed="false">
      <c r="A36" s="489" t="s">
        <v>1122</v>
      </c>
      <c r="B36" s="490" t="n">
        <v>0.01</v>
      </c>
      <c r="C36" s="491"/>
      <c r="D36" s="492" t="str">
        <f aca="false">IF(ISERROR(VLOOKUP($A36,'liste reference'!$A$6:$B$1174,2,0)),IF(ISERROR(VLOOKUP($A36,'liste reference'!$B$6:$B$1174,1,0)),"",VLOOKUP($A36,'liste reference'!$B$6:$B$1174,1,0)),VLOOKUP($A36,'liste reference'!$A$6:$B$1174,2,0))</f>
        <v>Rhynchostegium riparioides</v>
      </c>
      <c r="E36" s="493" t="e">
        <f aca="false">IF(D36="",0,VLOOKUP(D36,D$22:D35,1,0))</f>
        <v>#N/A</v>
      </c>
      <c r="F36" s="494" t="n">
        <f aca="false">IF(AND(OR(A36="",A36="!!!!!!"),B36="",C36=""),"",IF(OR(AND(B36="",C36=""),ISERROR(C36+B36)),"!!!",($B36*$B$7+$C36*$C$7)/100))</f>
        <v>0.0007</v>
      </c>
      <c r="G36" s="495" t="str">
        <f aca="false">IF(A36="","",IF(ISERROR(VLOOKUP($A36,'liste reference'!$A$6:$Q$1174,9,0)),IF(ISERROR(VLOOKUP($A36,'liste reference'!$B$6:$Q$1174,8,0)),"    -",VLOOKUP($A36,'liste reference'!$B$6:$Q$1174,8,0)),VLOOKUP($A36,'liste reference'!$A$6:$Q$1174,9,0)))</f>
        <v>BRm</v>
      </c>
      <c r="H36" s="496" t="n">
        <f aca="false">IF(A36="","x",IF(ISERROR(VLOOKUP($A36,'liste reference'!$A$6:$Q$1174,10,0)),IF(ISERROR(VLOOKUP($A36,'liste reference'!$B$6:$Q$1174,9,0)),"x",VLOOKUP($A36,'liste reference'!$B$6:$Q$1174,9,0)),VLOOKUP($A36,'liste reference'!$A$6:$Q$1174,10,0)))</f>
        <v>5</v>
      </c>
      <c r="I36" s="281" t="n">
        <f aca="false">IF(A36="","",1)</f>
        <v>1</v>
      </c>
      <c r="J36" s="497" t="n">
        <f aca="false">IF(ISNUMBER($H36),IF(ISERROR(VLOOKUP($A36,'liste reference'!$A$6:$Q$1174,6,0)),IF(ISERROR(VLOOKUP($A36,'liste reference'!$B$6:$Q$1174,5,0)),"nu",VLOOKUP($A36,'liste reference'!$B$6:$Q$1174,5,0)),VLOOKUP($A36,'liste reference'!$A$6:$Q$1174,6,0)),"nu")</f>
        <v>12</v>
      </c>
      <c r="K36" s="497" t="n">
        <f aca="false">IF(ISNUMBER($H36),IF(ISERROR(VLOOKUP($A36,'liste reference'!$A$6:$Q$1174,7,0)),IF(ISERROR(VLOOKUP($A36,'liste reference'!$B$6:$Q$1174,6,0)),"nu",VLOOKUP($A36,'liste reference'!$B$6:$Q$1174,6,0)),VLOOKUP($A36,'liste reference'!$A$6:$Q$1174,7,0)),"nu")</f>
        <v>1</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Rhynchostegium riparioides</v>
      </c>
      <c r="M36" s="498"/>
      <c r="N36" s="498"/>
      <c r="O36" s="498"/>
      <c r="P36" s="499" t="s">
        <v>3448</v>
      </c>
      <c r="Q36" s="500" t="n">
        <f aca="false">IF(OR($A36="NEWCOD",$A36="!!!!!!"),IF(X36="","NoCod",X36),IF($A36="","",IF(ISERROR(VLOOKUP($A36,'liste reference'!$A$6:$H$1174,8,0)),IF(ISERROR(VLOOKUP($A36,'liste reference'!$B$6:$H$1174,7,0)),"",VLOOKUP($A36,'liste reference'!$B$6:$H$1174,7,0)),VLOOKUP($A36,'liste reference'!$A$6:$H$1174,8,0))))</f>
        <v>31691</v>
      </c>
      <c r="R36" s="484" t="n">
        <f aca="false">IF(ISTEXT(H36),"",(B36*$B$7/100)+(C36*$C$7/100))</f>
        <v>0.0007</v>
      </c>
      <c r="S36" s="485" t="n">
        <f aca="false">IF(OR(ISTEXT(H36),R36=0),"",IF(R36&lt;0.1,1,IF(R36&lt;1,2,IF(R36&lt;10,3,IF(R36&lt;50,4,IF(R36&gt;=50,5,""))))))</f>
        <v>1</v>
      </c>
      <c r="T36" s="485" t="n">
        <f aca="false">IF(ISERROR(S36*J36),0,S36*J36)</f>
        <v>12</v>
      </c>
      <c r="U36" s="485" t="n">
        <f aca="false">IF(ISERROR(S36*J36*K36),0,S36*J36*K36)</f>
        <v>12</v>
      </c>
      <c r="V36" s="501" t="n">
        <f aca="false">IF(ISERROR(S36*K36),0,S36*K36)</f>
        <v>1</v>
      </c>
      <c r="W36" s="502"/>
      <c r="X36" s="503"/>
      <c r="Y36" s="488" t="str">
        <f aca="false">IF(AND(ISNUMBER(F36),OR(A36="",A36="!!!!!!")),"!!!!!!",IF(A36="new.cod","NEWCOD",IF(AND((Z36=""),ISTEXT(A36),A36&lt;&gt;"!!!!!!"),A36,IF(Z36="","",INDEX('liste reference'!$A$6:$A$1174,Z36)))))</f>
        <v>RHYRIP</v>
      </c>
      <c r="Z36" s="470" t="n">
        <f aca="false">IF(ISERROR(MATCH(A36,'liste reference'!$A$6:$A$1174,0)),IF(ISERROR(MATCH(A36,'liste reference'!$B$6:$B$1174,0)),"",(MATCH(A36,'liste reference'!$B$6:$B$1174,0))),(MATCH(A36,'liste reference'!$A$6:$A$1174,0)))</f>
        <v>345</v>
      </c>
    </row>
    <row r="37" customFormat="false" ht="12.75" hidden="false" customHeight="false" outlineLevel="0" collapsed="false">
      <c r="A37" s="489" t="s">
        <v>1277</v>
      </c>
      <c r="B37" s="490" t="n">
        <v>0.005</v>
      </c>
      <c r="C37" s="491"/>
      <c r="D37" s="492" t="str">
        <f aca="false">IF(ISERROR(VLOOKUP($A37,'liste reference'!$A$6:$B$1174,2,0)),IF(ISERROR(VLOOKUP($A37,'liste reference'!$B$6:$B$1174,1,0)),"",VLOOKUP($A37,'liste reference'!$B$6:$B$1174,1,0)),VLOOKUP($A37,'liste reference'!$A$6:$B$1174,2,0))</f>
        <v>Equisetum telmateia</v>
      </c>
      <c r="E37" s="493" t="e">
        <f aca="false">IF(D37="",0,VLOOKUP(D37,D$22:D36,1,0))</f>
        <v>#N/A</v>
      </c>
      <c r="F37" s="494" t="n">
        <f aca="false">IF(AND(OR(A37="",A37="!!!!!!"),B37="",C37=""),"",IF(OR(AND(B37="",C37=""),ISERROR(C37+B37)),"!!!",($B37*$B$7+$C37*$C$7)/100))</f>
        <v>0.00035</v>
      </c>
      <c r="G37" s="495" t="str">
        <f aca="false">IF(A37="","",IF(ISERROR(VLOOKUP($A37,'liste reference'!$A$6:$Q$1174,9,0)),IF(ISERROR(VLOOKUP($A37,'liste reference'!$B$6:$Q$1174,8,0)),"    -",VLOOKUP($A37,'liste reference'!$B$6:$Q$1174,8,0)),VLOOKUP($A37,'liste reference'!$A$6:$Q$1174,9,0)))</f>
        <v>PTE</v>
      </c>
      <c r="H37" s="496" t="n">
        <f aca="false">IF(A37="","x",IF(ISERROR(VLOOKUP($A37,'liste reference'!$A$6:$Q$1174,10,0)),IF(ISERROR(VLOOKUP($A37,'liste reference'!$B$6:$Q$1174,9,0)),"x",VLOOKUP($A37,'liste reference'!$B$6:$Q$1174,9,0)),VLOOKUP($A37,'liste reference'!$A$6:$Q$1174,10,0)))</f>
        <v>6</v>
      </c>
      <c r="I37" s="281" t="n">
        <f aca="false">IF(A37="","",1)</f>
        <v>1</v>
      </c>
      <c r="J37" s="497" t="str">
        <f aca="false">IF(ISNUMBER($H37),IF(ISERROR(VLOOKUP($A37,'liste reference'!$A$6:$Q$1174,6,0)),IF(ISERROR(VLOOKUP($A37,'liste reference'!$B$6:$Q$1174,5,0)),"nu",VLOOKUP($A37,'liste reference'!$B$6:$Q$1174,5,0)),VLOOKUP($A37,'liste reference'!$A$6:$Q$1174,6,0)),"nu")</f>
        <v>nc</v>
      </c>
      <c r="K37" s="497" t="str">
        <f aca="false">IF(ISNUMBER($H37),IF(ISERROR(VLOOKUP($A37,'liste reference'!$A$6:$Q$1174,7,0)),IF(ISERROR(VLOOKUP($A37,'liste reference'!$B$6:$Q$1174,6,0)),"nu",VLOOKUP($A37,'liste reference'!$B$6:$Q$1174,6,0)),VLOOKUP($A37,'liste reference'!$A$6:$Q$1174,7,0)),"nu")</f>
        <v>nc</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Equisetum telmateia</v>
      </c>
      <c r="M37" s="498"/>
      <c r="N37" s="498"/>
      <c r="O37" s="498"/>
      <c r="P37" s="499" t="s">
        <v>3448</v>
      </c>
      <c r="Q37" s="500" t="n">
        <f aca="false">IF(OR($A37="NEWCOD",$A37="!!!!!!"),IF(X37="","NoCod",X37),IF($A37="","",IF(ISERROR(VLOOKUP($A37,'liste reference'!$A$6:$H$1174,8,0)),IF(ISERROR(VLOOKUP($A37,'liste reference'!$B$6:$H$1174,7,0)),"",VLOOKUP($A37,'liste reference'!$B$6:$H$1174,7,0)),VLOOKUP($A37,'liste reference'!$A$6:$H$1174,8,0))))</f>
        <v>29958</v>
      </c>
      <c r="R37" s="484" t="n">
        <f aca="false">IF(ISTEXT(H37),"",(B37*$B$7/100)+(C37*$C$7/100))</f>
        <v>0.00035</v>
      </c>
      <c r="S37" s="485" t="n">
        <f aca="false">IF(OR(ISTEXT(H37),R37=0),"",IF(R37&lt;0.1,1,IF(R37&lt;1,2,IF(R37&lt;10,3,IF(R37&lt;50,4,IF(R37&gt;=50,5,""))))))</f>
        <v>1</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EQUTEL</v>
      </c>
      <c r="Z37" s="470" t="n">
        <f aca="false">IF(ISERROR(MATCH(A37,'liste reference'!$A$6:$A$1174,0)),IF(ISERROR(MATCH(A37,'liste reference'!$B$6:$B$1174,0)),"",(MATCH(A37,'liste reference'!$B$6:$B$1174,0))),(MATCH(A37,'liste reference'!$A$6:$A$1174,0)))</f>
        <v>393</v>
      </c>
    </row>
    <row r="38" customFormat="false" ht="12.75" hidden="false" customHeight="false" outlineLevel="0" collapsed="false">
      <c r="A38" s="489" t="s">
        <v>1328</v>
      </c>
      <c r="B38" s="490"/>
      <c r="C38" s="491" t="n">
        <v>0.01</v>
      </c>
      <c r="D38" s="492" t="str">
        <f aca="false">IF(ISERROR(VLOOKUP($A38,'liste reference'!$A$6:$B$1174,2,0)),IF(ISERROR(VLOOKUP($A38,'liste reference'!$B$6:$B$1174,1,0)),"",VLOOKUP($A38,'liste reference'!$B$6:$B$1174,1,0)),VLOOKUP($A38,'liste reference'!$A$6:$B$1174,2,0))</f>
        <v>Alisma lanceolatum</v>
      </c>
      <c r="E38" s="493" t="e">
        <f aca="false">IF(D38="",0,VLOOKUP(D38,D$22:D37,1,0))</f>
        <v>#N/A</v>
      </c>
      <c r="F38" s="494" t="n">
        <f aca="false">IF(AND(OR(A38="",A38="!!!!!!"),B38="",C38=""),"",IF(OR(AND(B38="",C38=""),ISERROR(C38+B38)),"!!!",($B38*$B$7+$C38*$C$7)/100))</f>
        <v>0.0093</v>
      </c>
      <c r="G38" s="495" t="str">
        <f aca="false">IF(A38="","",IF(ISERROR(VLOOKUP($A38,'liste reference'!$A$6:$Q$1174,9,0)),IF(ISERROR(VLOOKUP($A38,'liste reference'!$B$6:$Q$1174,8,0)),"    -",VLOOKUP($A38,'liste reference'!$B$6:$Q$1174,8,0)),VLOOKUP($A38,'liste reference'!$A$6:$Q$1174,9,0)))</f>
        <v>Phe</v>
      </c>
      <c r="H38" s="496" t="n">
        <f aca="false">IF(A38="","x",IF(ISERROR(VLOOKUP($A38,'liste reference'!$A$6:$Q$1174,10,0)),IF(ISERROR(VLOOKUP($A38,'liste reference'!$B$6:$Q$1174,9,0)),"x",VLOOKUP($A38,'liste reference'!$B$6:$Q$1174,9,0)),VLOOKUP($A38,'liste reference'!$A$6:$Q$1174,10,0)))</f>
        <v>7</v>
      </c>
      <c r="I38" s="281" t="n">
        <f aca="false">IF(A38="","",1)</f>
        <v>1</v>
      </c>
      <c r="J38" s="497" t="n">
        <f aca="false">IF(ISNUMBER($H38),IF(ISERROR(VLOOKUP($A38,'liste reference'!$A$6:$Q$1174,6,0)),IF(ISERROR(VLOOKUP($A38,'liste reference'!$B$6:$Q$1174,5,0)),"nu",VLOOKUP($A38,'liste reference'!$B$6:$Q$1174,5,0)),VLOOKUP($A38,'liste reference'!$A$6:$Q$1174,6,0)),"nu")</f>
        <v>9</v>
      </c>
      <c r="K38" s="497" t="n">
        <f aca="false">IF(ISNUMBER($H38),IF(ISERROR(VLOOKUP($A38,'liste reference'!$A$6:$Q$1174,7,0)),IF(ISERROR(VLOOKUP($A38,'liste reference'!$B$6:$Q$1174,6,0)),"nu",VLOOKUP($A38,'liste reference'!$B$6:$Q$1174,6,0)),VLOOKUP($A38,'liste reference'!$A$6:$Q$1174,7,0)),"nu")</f>
        <v>2</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Alisma lanceolatum</v>
      </c>
      <c r="M38" s="498"/>
      <c r="N38" s="498"/>
      <c r="O38" s="498"/>
      <c r="P38" s="499" t="s">
        <v>3448</v>
      </c>
      <c r="Q38" s="500" t="n">
        <f aca="false">IF(OR($A38="NEWCOD",$A38="!!!!!!"),IF(X38="","NoCod",X38),IF($A38="","",IF(ISERROR(VLOOKUP($A38,'liste reference'!$A$6:$H$1174,8,0)),IF(ISERROR(VLOOKUP($A38,'liste reference'!$B$6:$H$1174,7,0)),"",VLOOKUP($A38,'liste reference'!$B$6:$H$1174,7,0)),VLOOKUP($A38,'liste reference'!$A$6:$H$1174,8,0))))</f>
        <v>1446</v>
      </c>
      <c r="R38" s="484" t="n">
        <f aca="false">IF(ISTEXT(H38),"",(B38*$B$7/100)+(C38*$C$7/100))</f>
        <v>0.0093</v>
      </c>
      <c r="S38" s="485" t="n">
        <f aca="false">IF(OR(ISTEXT(H38),R38=0),"",IF(R38&lt;0.1,1,IF(R38&lt;1,2,IF(R38&lt;10,3,IF(R38&lt;50,4,IF(R38&gt;=50,5,""))))))</f>
        <v>1</v>
      </c>
      <c r="T38" s="485" t="n">
        <f aca="false">IF(ISERROR(S38*J38),0,S38*J38)</f>
        <v>9</v>
      </c>
      <c r="U38" s="485" t="n">
        <f aca="false">IF(ISERROR(S38*J38*K38),0,S38*J38*K38)</f>
        <v>18</v>
      </c>
      <c r="V38" s="501" t="n">
        <f aca="false">IF(ISERROR(S38*K38),0,S38*K38)</f>
        <v>2</v>
      </c>
      <c r="W38" s="502"/>
      <c r="X38" s="503"/>
      <c r="Y38" s="488" t="str">
        <f aca="false">IF(AND(ISNUMBER(F38),OR(A38="",A38="!!!!!!")),"!!!!!!",IF(A38="new.cod","NEWCOD",IF(AND((Z38=""),ISTEXT(A38),A38&lt;&gt;"!!!!!!"),A38,IF(Z38="","",INDEX('liste reference'!$A$6:$A$1174,Z38)))))</f>
        <v>ALILAN</v>
      </c>
      <c r="Z38" s="470" t="n">
        <f aca="false">IF(ISERROR(MATCH(A38,'liste reference'!$A$6:$A$1174,0)),IF(ISERROR(MATCH(A38,'liste reference'!$B$6:$B$1174,0)),"",(MATCH(A38,'liste reference'!$B$6:$B$1174,0))),(MATCH(A38,'liste reference'!$A$6:$A$1174,0)))</f>
        <v>414</v>
      </c>
    </row>
    <row r="39" customFormat="false" ht="12.75" hidden="false" customHeight="false" outlineLevel="0" collapsed="false">
      <c r="A39" s="489" t="s">
        <v>1401</v>
      </c>
      <c r="B39" s="490" t="n">
        <v>0.5</v>
      </c>
      <c r="C39" s="491" t="n">
        <v>0.1</v>
      </c>
      <c r="D39" s="492" t="str">
        <f aca="false">IF(ISERROR(VLOOKUP($A39,'liste reference'!$A$6:$B$1174,2,0)),IF(ISERROR(VLOOKUP($A39,'liste reference'!$B$6:$B$1174,1,0)),"",VLOOKUP($A39,'liste reference'!$B$6:$B$1174,1,0)),VLOOKUP($A39,'liste reference'!$A$6:$B$1174,2,0))</f>
        <v>Callitriche obtusangula</v>
      </c>
      <c r="E39" s="493" t="e">
        <f aca="false">IF(D39="",0,VLOOKUP(D39,D$22:D38,1,0))</f>
        <v>#N/A</v>
      </c>
      <c r="F39" s="494" t="n">
        <f aca="false">IF(AND(OR(A39="",A39="!!!!!!"),B39="",C39=""),"",IF(OR(AND(B39="",C39=""),ISERROR(C39+B39)),"!!!",($B39*$B$7+$C39*$C$7)/100))</f>
        <v>0.128</v>
      </c>
      <c r="G39" s="495" t="str">
        <f aca="false">IF(A39="","",IF(ISERROR(VLOOKUP($A39,'liste reference'!$A$6:$Q$1174,9,0)),IF(ISERROR(VLOOKUP($A39,'liste reference'!$B$6:$Q$1174,8,0)),"    -",VLOOKUP($A39,'liste reference'!$B$6:$Q$1174,8,0)),VLOOKUP($A39,'liste reference'!$A$6:$Q$1174,9,0)))</f>
        <v>PHy</v>
      </c>
      <c r="H39" s="496" t="n">
        <f aca="false">IF(A39="","x",IF(ISERROR(VLOOKUP($A39,'liste reference'!$A$6:$Q$1174,10,0)),IF(ISERROR(VLOOKUP($A39,'liste reference'!$B$6:$Q$1174,9,0)),"x",VLOOKUP($A39,'liste reference'!$B$6:$Q$1174,9,0)),VLOOKUP($A39,'liste reference'!$A$6:$Q$1174,10,0)))</f>
        <v>7</v>
      </c>
      <c r="I39" s="281" t="n">
        <f aca="false">IF(A39="","",1)</f>
        <v>1</v>
      </c>
      <c r="J39" s="497" t="n">
        <f aca="false">IF(ISNUMBER($H39),IF(ISERROR(VLOOKUP($A39,'liste reference'!$A$6:$Q$1174,6,0)),IF(ISERROR(VLOOKUP($A39,'liste reference'!$B$6:$Q$1174,5,0)),"nu",VLOOKUP($A39,'liste reference'!$B$6:$Q$1174,5,0)),VLOOKUP($A39,'liste reference'!$A$6:$Q$1174,6,0)),"nu")</f>
        <v>8</v>
      </c>
      <c r="K39" s="497" t="n">
        <f aca="false">IF(ISNUMBER($H39),IF(ISERROR(VLOOKUP($A39,'liste reference'!$A$6:$Q$1174,7,0)),IF(ISERROR(VLOOKUP($A39,'liste reference'!$B$6:$Q$1174,6,0)),"nu",VLOOKUP($A39,'liste reference'!$B$6:$Q$1174,6,0)),VLOOKUP($A39,'liste reference'!$A$6:$Q$1174,7,0)),"nu")</f>
        <v>2</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Callitriche obtusangula</v>
      </c>
      <c r="M39" s="498"/>
      <c r="N39" s="498"/>
      <c r="O39" s="498"/>
      <c r="P39" s="499" t="s">
        <v>3448</v>
      </c>
      <c r="Q39" s="500" t="n">
        <f aca="false">IF(OR($A39="NEWCOD",$A39="!!!!!!"),IF(X39="","NoCod",X39),IF($A39="","",IF(ISERROR(VLOOKUP($A39,'liste reference'!$A$6:$H$1174,8,0)),IF(ISERROR(VLOOKUP($A39,'liste reference'!$B$6:$H$1174,7,0)),"",VLOOKUP($A39,'liste reference'!$B$6:$H$1174,7,0)),VLOOKUP($A39,'liste reference'!$A$6:$H$1174,8,0))))</f>
        <v>1700</v>
      </c>
      <c r="R39" s="484" t="n">
        <f aca="false">IF(ISTEXT(H39),"",(B39*$B$7/100)+(C39*$C$7/100))</f>
        <v>0.128</v>
      </c>
      <c r="S39" s="485" t="n">
        <f aca="false">IF(OR(ISTEXT(H39),R39=0),"",IF(R39&lt;0.1,1,IF(R39&lt;1,2,IF(R39&lt;10,3,IF(R39&lt;50,4,IF(R39&gt;=50,5,""))))))</f>
        <v>2</v>
      </c>
      <c r="T39" s="485" t="n">
        <f aca="false">IF(ISERROR(S39*J39),0,S39*J39)</f>
        <v>16</v>
      </c>
      <c r="U39" s="485" t="n">
        <f aca="false">IF(ISERROR(S39*J39*K39),0,S39*J39*K39)</f>
        <v>32</v>
      </c>
      <c r="V39" s="501" t="n">
        <f aca="false">IF(ISERROR(S39*K39),0,S39*K39)</f>
        <v>4</v>
      </c>
      <c r="W39" s="502"/>
      <c r="X39" s="503"/>
      <c r="Y39" s="488" t="str">
        <f aca="false">IF(AND(ISNUMBER(F39),OR(A39="",A39="!!!!!!")),"!!!!!!",IF(A39="new.cod","NEWCOD",IF(AND((Z39=""),ISTEXT(A39),A39&lt;&gt;"!!!!!!"),A39,IF(Z39="","",INDEX('liste reference'!$A$6:$A$1174,Z39)))))</f>
        <v>CALOBT</v>
      </c>
      <c r="Z39" s="470" t="n">
        <f aca="false">IF(ISERROR(MATCH(A39,'liste reference'!$A$6:$A$1174,0)),IF(ISERROR(MATCH(A39,'liste reference'!$B$6:$B$1174,0)),"",(MATCH(A39,'liste reference'!$B$6:$B$1174,0))),(MATCH(A39,'liste reference'!$A$6:$A$1174,0)))</f>
        <v>436</v>
      </c>
    </row>
    <row r="40" customFormat="false" ht="12.75" hidden="false" customHeight="false" outlineLevel="0" collapsed="false">
      <c r="A40" s="489" t="s">
        <v>1483</v>
      </c>
      <c r="B40" s="490" t="n">
        <v>0.1</v>
      </c>
      <c r="C40" s="491" t="n">
        <v>0.01</v>
      </c>
      <c r="D40" s="492" t="str">
        <f aca="false">IF(ISERROR(VLOOKUP($A40,'liste reference'!$A$6:$B$1174,2,0)),IF(ISERROR(VLOOKUP($A40,'liste reference'!$B$6:$B$1174,1,0)),"",VLOOKUP($A40,'liste reference'!$B$6:$B$1174,1,0)),VLOOKUP($A40,'liste reference'!$A$6:$B$1174,2,0))</f>
        <v>Helosciadium nodiflorum </v>
      </c>
      <c r="E40" s="493" t="e">
        <f aca="false">IF(D40="",0,VLOOKUP(D40,D$22:D39,1,0))</f>
        <v>#N/A</v>
      </c>
      <c r="F40" s="494" t="n">
        <f aca="false">IF(AND(OR(A40="",A40="!!!!!!"),B40="",C40=""),"",IF(OR(AND(B40="",C40=""),ISERROR(C40+B40)),"!!!",($B40*$B$7+$C40*$C$7)/100))</f>
        <v>0.0163</v>
      </c>
      <c r="G40" s="495" t="str">
        <f aca="false">IF(A40="","",IF(ISERROR(VLOOKUP($A40,'liste reference'!$A$6:$Q$1174,9,0)),IF(ISERROR(VLOOKUP($A40,'liste reference'!$B$6:$Q$1174,8,0)),"    -",VLOOKUP($A40,'liste reference'!$B$6:$Q$1174,8,0)),VLOOKUP($A40,'liste reference'!$A$6:$Q$1174,9,0)))</f>
        <v>PHy</v>
      </c>
      <c r="H40" s="496" t="n">
        <f aca="false">IF(A40="","x",IF(ISERROR(VLOOKUP($A40,'liste reference'!$A$6:$Q$1174,10,0)),IF(ISERROR(VLOOKUP($A40,'liste reference'!$B$6:$Q$1174,9,0)),"x",VLOOKUP($A40,'liste reference'!$B$6:$Q$1174,9,0)),VLOOKUP($A40,'liste reference'!$A$6:$Q$1174,10,0)))</f>
        <v>7</v>
      </c>
      <c r="I40" s="281" t="n">
        <f aca="false">IF(A40="","",1)</f>
        <v>1</v>
      </c>
      <c r="J40" s="497" t="n">
        <f aca="false">IF(ISNUMBER($H40),IF(ISERROR(VLOOKUP($A40,'liste reference'!$A$6:$Q$1174,6,0)),IF(ISERROR(VLOOKUP($A40,'liste reference'!$B$6:$Q$1174,5,0)),"nu",VLOOKUP($A40,'liste reference'!$B$6:$Q$1174,5,0)),VLOOKUP($A40,'liste reference'!$A$6:$Q$1174,6,0)),"nu")</f>
        <v>10</v>
      </c>
      <c r="K40" s="497" t="n">
        <f aca="false">IF(ISNUMBER($H40),IF(ISERROR(VLOOKUP($A40,'liste reference'!$A$6:$Q$1174,7,0)),IF(ISERROR(VLOOKUP($A40,'liste reference'!$B$6:$Q$1174,6,0)),"nu",VLOOKUP($A40,'liste reference'!$B$6:$Q$1174,6,0)),VLOOKUP($A40,'liste reference'!$A$6:$Q$1174,7,0)),"nu")</f>
        <v>1</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Helosciadium nodiflorum </v>
      </c>
      <c r="M40" s="498"/>
      <c r="N40" s="498"/>
      <c r="O40" s="498"/>
      <c r="P40" s="499" t="s">
        <v>3449</v>
      </c>
      <c r="Q40" s="500" t="n">
        <f aca="false">IF(OR($A40="NEWCOD",$A40="!!!!!!"),IF(X40="","NoCod",X40),IF($A40="","",IF(ISERROR(VLOOKUP($A40,'liste reference'!$A$6:$H$1174,8,0)),IF(ISERROR(VLOOKUP($A40,'liste reference'!$B$6:$H$1174,7,0)),"",VLOOKUP($A40,'liste reference'!$B$6:$H$1174,7,0)),VLOOKUP($A40,'liste reference'!$A$6:$H$1174,8,0))))</f>
        <v>30053</v>
      </c>
      <c r="R40" s="484" t="n">
        <f aca="false">IF(ISTEXT(H40),"",(B40*$B$7/100)+(C40*$C$7/100))</f>
        <v>0.0163</v>
      </c>
      <c r="S40" s="485" t="n">
        <f aca="false">IF(OR(ISTEXT(H40),R40=0),"",IF(R40&lt;0.1,1,IF(R40&lt;1,2,IF(R40&lt;10,3,IF(R40&lt;50,4,IF(R40&gt;=50,5,""))))))</f>
        <v>1</v>
      </c>
      <c r="T40" s="485" t="n">
        <f aca="false">IF(ISERROR(S40*J40),0,S40*J40)</f>
        <v>10</v>
      </c>
      <c r="U40" s="485" t="n">
        <f aca="false">IF(ISERROR(S40*J40*K40),0,S40*J40*K40)</f>
        <v>10</v>
      </c>
      <c r="V40" s="501" t="n">
        <f aca="false">IF(ISERROR(S40*K40),0,S40*K40)</f>
        <v>1</v>
      </c>
      <c r="W40" s="502"/>
      <c r="X40" s="503"/>
      <c r="Y40" s="488" t="str">
        <f aca="false">IF(AND(ISNUMBER(F40),OR(A40="",A40="!!!!!!")),"!!!!!!",IF(A40="new.cod","NEWCOD",IF(AND((Z40=""),ISTEXT(A40),A40&lt;&gt;"!!!!!!"),A40,IF(Z40="","",INDEX('liste reference'!$A$6:$A$1174,Z40)))))</f>
        <v>HELNOD</v>
      </c>
      <c r="Z40" s="470" t="n">
        <f aca="false">IF(ISERROR(MATCH(A40,'liste reference'!$A$6:$A$1174,0)),IF(ISERROR(MATCH(A40,'liste reference'!$B$6:$B$1174,0)),"",(MATCH(A40,'liste reference'!$B$6:$B$1174,0))),(MATCH(A40,'liste reference'!$A$6:$A$1174,0)))</f>
        <v>460</v>
      </c>
    </row>
    <row r="41" customFormat="false" ht="12.75" hidden="false" customHeight="false" outlineLevel="0" collapsed="false">
      <c r="A41" s="489" t="s">
        <v>1524</v>
      </c>
      <c r="B41" s="490"/>
      <c r="C41" s="491" t="n">
        <v>0.01</v>
      </c>
      <c r="D41" s="492" t="str">
        <f aca="false">IF(ISERROR(VLOOKUP($A41,'liste reference'!$A$6:$B$1174,2,0)),IF(ISERROR(VLOOKUP($A41,'liste reference'!$B$6:$B$1174,1,0)),"",VLOOKUP($A41,'liste reference'!$B$6:$B$1174,1,0)),VLOOKUP($A41,'liste reference'!$A$6:$B$1174,2,0))</f>
        <v>Lemna minuta</v>
      </c>
      <c r="E41" s="493" t="e">
        <f aca="false">IF(D41="",0,VLOOKUP(D41,D$22:D40,1,0))</f>
        <v>#N/A</v>
      </c>
      <c r="F41" s="494" t="n">
        <f aca="false">IF(AND(OR(A41="",A41="!!!!!!"),B41="",C41=""),"",IF(OR(AND(B41="",C41=""),ISERROR(C41+B41)),"!!!",($B41*$B$7+$C41*$C$7)/100))</f>
        <v>0.0093</v>
      </c>
      <c r="G41" s="495" t="str">
        <f aca="false">IF(A41="","",IF(ISERROR(VLOOKUP($A41,'liste reference'!$A$6:$Q$1174,9,0)),IF(ISERROR(VLOOKUP($A41,'liste reference'!$B$6:$Q$1174,8,0)),"    -",VLOOKUP($A41,'liste reference'!$B$6:$Q$1174,8,0)),VLOOKUP($A41,'liste reference'!$A$6:$Q$1174,9,0)))</f>
        <v>PHy</v>
      </c>
      <c r="H41" s="496" t="n">
        <f aca="false">IF(A41="","x",IF(ISERROR(VLOOKUP($A41,'liste reference'!$A$6:$Q$1174,10,0)),IF(ISERROR(VLOOKUP($A41,'liste reference'!$B$6:$Q$1174,9,0)),"x",VLOOKUP($A41,'liste reference'!$B$6:$Q$1174,9,0)),VLOOKUP($A41,'liste reference'!$A$6:$Q$1174,10,0)))</f>
        <v>7</v>
      </c>
      <c r="I41" s="281" t="n">
        <f aca="false">IF(A41="","",1)</f>
        <v>1</v>
      </c>
      <c r="J41" s="497" t="str">
        <f aca="false">IF(ISNUMBER($H41),IF(ISERROR(VLOOKUP($A41,'liste reference'!$A$6:$Q$1174,6,0)),IF(ISERROR(VLOOKUP($A41,'liste reference'!$B$6:$Q$1174,5,0)),"nu",VLOOKUP($A41,'liste reference'!$B$6:$Q$1174,5,0)),VLOOKUP($A41,'liste reference'!$A$6:$Q$1174,6,0)),"nu")</f>
        <v>nc</v>
      </c>
      <c r="K41" s="497" t="str">
        <f aca="false">IF(ISNUMBER($H41),IF(ISERROR(VLOOKUP($A41,'liste reference'!$A$6:$Q$1174,7,0)),IF(ISERROR(VLOOKUP($A41,'liste reference'!$B$6:$Q$1174,6,0)),"nu",VLOOKUP($A41,'liste reference'!$B$6:$Q$1174,6,0)),VLOOKUP($A41,'liste reference'!$A$6:$Q$1174,7,0)),"nu")</f>
        <v>nc</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Lemna minuta</v>
      </c>
      <c r="M41" s="498"/>
      <c r="N41" s="498"/>
      <c r="O41" s="498"/>
      <c r="P41" s="499" t="s">
        <v>3448</v>
      </c>
      <c r="Q41" s="500" t="n">
        <f aca="false">IF(OR($A41="NEWCOD",$A41="!!!!!!"),IF(X41="","NoCod",X41),IF($A41="","",IF(ISERROR(VLOOKUP($A41,'liste reference'!$A$6:$H$1174,8,0)),IF(ISERROR(VLOOKUP($A41,'liste reference'!$B$6:$H$1174,7,0)),"",VLOOKUP($A41,'liste reference'!$B$6:$H$1174,7,0)),VLOOKUP($A41,'liste reference'!$A$6:$H$1174,8,0))))</f>
        <v>29962</v>
      </c>
      <c r="R41" s="484" t="n">
        <f aca="false">IF(ISTEXT(H41),"",(B41*$B$7/100)+(C41*$C$7/100))</f>
        <v>0.0093</v>
      </c>
      <c r="S41" s="485" t="n">
        <f aca="false">IF(OR(ISTEXT(H41),R41=0),"",IF(R41&lt;0.1,1,IF(R41&lt;1,2,IF(R41&lt;10,3,IF(R41&lt;50,4,IF(R41&gt;=50,5,""))))))</f>
        <v>1</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LEMMIT</v>
      </c>
      <c r="Z41" s="470" t="n">
        <f aca="false">IF(ISERROR(MATCH(A41,'liste reference'!$A$6:$A$1174,0)),IF(ISERROR(MATCH(A41,'liste reference'!$B$6:$B$1174,0)),"",(MATCH(A41,'liste reference'!$B$6:$B$1174,0))),(MATCH(A41,'liste reference'!$A$6:$A$1174,0)))</f>
        <v>474</v>
      </c>
    </row>
    <row r="42" customFormat="false" ht="12.75" hidden="false" customHeight="false" outlineLevel="0" collapsed="false">
      <c r="A42" s="489" t="s">
        <v>1647</v>
      </c>
      <c r="B42" s="490" t="n">
        <v>0.1</v>
      </c>
      <c r="C42" s="491"/>
      <c r="D42" s="492" t="str">
        <f aca="false">IF(ISERROR(VLOOKUP($A42,'liste reference'!$A$6:$B$1174,2,0)),IF(ISERROR(VLOOKUP($A42,'liste reference'!$B$6:$B$1174,1,0)),"",VLOOKUP($A42,'liste reference'!$B$6:$B$1174,1,0)),VLOOKUP($A42,'liste reference'!$A$6:$B$1174,2,0))</f>
        <v>Potamogeton coloratus</v>
      </c>
      <c r="E42" s="493" t="e">
        <f aca="false">IF(D42="",0,VLOOKUP(D42,D$22:D41,1,0))</f>
        <v>#N/A</v>
      </c>
      <c r="F42" s="494" t="n">
        <f aca="false">IF(AND(OR(A42="",A42="!!!!!!"),B42="",C42=""),"",IF(OR(AND(B42="",C42=""),ISERROR(C42+B42)),"!!!",($B42*$B$7+$C42*$C$7)/100))</f>
        <v>0.007</v>
      </c>
      <c r="G42" s="495" t="str">
        <f aca="false">IF(A42="","",IF(ISERROR(VLOOKUP($A42,'liste reference'!$A$6:$Q$1174,9,0)),IF(ISERROR(VLOOKUP($A42,'liste reference'!$B$6:$Q$1174,8,0)),"    -",VLOOKUP($A42,'liste reference'!$B$6:$Q$1174,8,0)),VLOOKUP($A42,'liste reference'!$A$6:$Q$1174,9,0)))</f>
        <v>PHy</v>
      </c>
      <c r="H42" s="496" t="n">
        <f aca="false">IF(A42="","x",IF(ISERROR(VLOOKUP($A42,'liste reference'!$A$6:$Q$1174,10,0)),IF(ISERROR(VLOOKUP($A42,'liste reference'!$B$6:$Q$1174,9,0)),"x",VLOOKUP($A42,'liste reference'!$B$6:$Q$1174,9,0)),VLOOKUP($A42,'liste reference'!$A$6:$Q$1174,10,0)))</f>
        <v>7</v>
      </c>
      <c r="I42" s="281" t="n">
        <f aca="false">IF(A42="","",1)</f>
        <v>1</v>
      </c>
      <c r="J42" s="497" t="n">
        <f aca="false">IF(ISNUMBER($H42),IF(ISERROR(VLOOKUP($A42,'liste reference'!$A$6:$Q$1174,6,0)),IF(ISERROR(VLOOKUP($A42,'liste reference'!$B$6:$Q$1174,5,0)),"nu",VLOOKUP($A42,'liste reference'!$B$6:$Q$1174,5,0)),VLOOKUP($A42,'liste reference'!$A$6:$Q$1174,6,0)),"nu")</f>
        <v>20</v>
      </c>
      <c r="K42" s="497" t="n">
        <f aca="false">IF(ISNUMBER($H42),IF(ISERROR(VLOOKUP($A42,'liste reference'!$A$6:$Q$1174,7,0)),IF(ISERROR(VLOOKUP($A42,'liste reference'!$B$6:$Q$1174,6,0)),"nu",VLOOKUP($A42,'liste reference'!$B$6:$Q$1174,6,0)),VLOOKUP($A42,'liste reference'!$A$6:$Q$1174,7,0)),"nu")</f>
        <v>3</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Potamogeton coloratus</v>
      </c>
      <c r="M42" s="498"/>
      <c r="N42" s="498"/>
      <c r="O42" s="498"/>
      <c r="P42" s="499" t="s">
        <v>3448</v>
      </c>
      <c r="Q42" s="500" t="n">
        <f aca="false">IF(OR($A42="NEWCOD",$A42="!!!!!!"),IF(X42="","NoCod",X42),IF($A42="","",IF(ISERROR(VLOOKUP($A42,'liste reference'!$A$6:$H$1174,8,0)),IF(ISERROR(VLOOKUP($A42,'liste reference'!$B$6:$H$1174,7,0)),"",VLOOKUP($A42,'liste reference'!$B$6:$H$1174,7,0)),VLOOKUP($A42,'liste reference'!$A$6:$H$1174,8,0))))</f>
        <v>1643</v>
      </c>
      <c r="R42" s="484" t="n">
        <f aca="false">IF(ISTEXT(H42),"",(B42*$B$7/100)+(C42*$C$7/100))</f>
        <v>0.007</v>
      </c>
      <c r="S42" s="485" t="n">
        <f aca="false">IF(OR(ISTEXT(H42),R42=0),"",IF(R42&lt;0.1,1,IF(R42&lt;1,2,IF(R42&lt;10,3,IF(R42&lt;50,4,IF(R42&gt;=50,5,""))))))</f>
        <v>1</v>
      </c>
      <c r="T42" s="485" t="n">
        <f aca="false">IF(ISERROR(S42*J42),0,S42*J42)</f>
        <v>20</v>
      </c>
      <c r="U42" s="485" t="n">
        <f aca="false">IF(ISERROR(S42*J42*K42),0,S42*J42*K42)</f>
        <v>60</v>
      </c>
      <c r="V42" s="501" t="n">
        <f aca="false">IF(ISERROR(S42*K42),0,S42*K42)</f>
        <v>3</v>
      </c>
      <c r="W42" s="502"/>
      <c r="X42" s="503"/>
      <c r="Y42" s="488" t="str">
        <f aca="false">IF(AND(ISNUMBER(F42),OR(A42="",A42="!!!!!!")),"!!!!!!",IF(A42="new.cod","NEWCOD",IF(AND((Z42=""),ISTEXT(A42),A42&lt;&gt;"!!!!!!"),A42,IF(Z42="","",INDEX('liste reference'!$A$6:$A$1174,Z42)))))</f>
        <v>POTCOL</v>
      </c>
      <c r="Z42" s="470" t="n">
        <f aca="false">IF(ISERROR(MATCH(A42,'liste reference'!$A$6:$A$1174,0)),IF(ISERROR(MATCH(A42,'liste reference'!$B$6:$B$1174,0)),"",(MATCH(A42,'liste reference'!$B$6:$B$1174,0))),(MATCH(A42,'liste reference'!$A$6:$A$1174,0)))</f>
        <v>519</v>
      </c>
    </row>
    <row r="43" customFormat="false" ht="12.75" hidden="false" customHeight="false" outlineLevel="0" collapsed="false">
      <c r="A43" s="489" t="s">
        <v>1908</v>
      </c>
      <c r="B43" s="490"/>
      <c r="C43" s="491" t="n">
        <v>0.1</v>
      </c>
      <c r="D43" s="492" t="str">
        <f aca="false">IF(ISERROR(VLOOKUP($A43,'liste reference'!$A$6:$B$1174,2,0)),IF(ISERROR(VLOOKUP($A43,'liste reference'!$B$6:$B$1174,1,0)),"",VLOOKUP($A43,'liste reference'!$B$6:$B$1174,1,0)),VLOOKUP($A43,'liste reference'!$A$6:$B$1174,2,0))</f>
        <v>Vallisneria spiralis</v>
      </c>
      <c r="E43" s="493" t="e">
        <f aca="false">IF(D43="",0,VLOOKUP(D43,D$22:D42,1,0))</f>
        <v>#N/A</v>
      </c>
      <c r="F43" s="494" t="n">
        <f aca="false">IF(AND(OR(A43="",A43="!!!!!!"),B43="",C43=""),"",IF(OR(AND(B43="",C43=""),ISERROR(C43+B43)),"!!!",($B43*$B$7+$C43*$C$7)/100))</f>
        <v>0.093</v>
      </c>
      <c r="G43" s="495" t="str">
        <f aca="false">IF(A43="","",IF(ISERROR(VLOOKUP($A43,'liste reference'!$A$6:$Q$1174,9,0)),IF(ISERROR(VLOOKUP($A43,'liste reference'!$B$6:$Q$1174,8,0)),"    -",VLOOKUP($A43,'liste reference'!$B$6:$Q$1174,8,0)),VLOOKUP($A43,'liste reference'!$A$6:$Q$1174,9,0)))</f>
        <v>PHy</v>
      </c>
      <c r="H43" s="496" t="n">
        <f aca="false">IF(A43="","x",IF(ISERROR(VLOOKUP($A43,'liste reference'!$A$6:$Q$1174,10,0)),IF(ISERROR(VLOOKUP($A43,'liste reference'!$B$6:$Q$1174,9,0)),"x",VLOOKUP($A43,'liste reference'!$B$6:$Q$1174,9,0)),VLOOKUP($A43,'liste reference'!$A$6:$Q$1174,10,0)))</f>
        <v>7</v>
      </c>
      <c r="I43" s="281" t="n">
        <f aca="false">IF(A43="","",1)</f>
        <v>1</v>
      </c>
      <c r="J43" s="497" t="n">
        <f aca="false">IF(ISNUMBER($H43),IF(ISERROR(VLOOKUP($A43,'liste reference'!$A$6:$Q$1174,6,0)),IF(ISERROR(VLOOKUP($A43,'liste reference'!$B$6:$Q$1174,5,0)),"nu",VLOOKUP($A43,'liste reference'!$B$6:$Q$1174,5,0)),VLOOKUP($A43,'liste reference'!$A$6:$Q$1174,6,0)),"nu")</f>
        <v>8</v>
      </c>
      <c r="K43" s="497" t="n">
        <f aca="false">IF(ISNUMBER($H43),IF(ISERROR(VLOOKUP($A43,'liste reference'!$A$6:$Q$1174,7,0)),IF(ISERROR(VLOOKUP($A43,'liste reference'!$B$6:$Q$1174,6,0)),"nu",VLOOKUP($A43,'liste reference'!$B$6:$Q$1174,6,0)),VLOOKUP($A43,'liste reference'!$A$6:$Q$1174,7,0)),"nu")</f>
        <v>2</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Vallisneria spiralis</v>
      </c>
      <c r="M43" s="498"/>
      <c r="N43" s="498"/>
      <c r="O43" s="498"/>
      <c r="P43" s="499" t="s">
        <v>3448</v>
      </c>
      <c r="Q43" s="500" t="n">
        <f aca="false">IF(OR($A43="NEWCOD",$A43="!!!!!!"),IF(X43="","NoCod",X43),IF($A43="","",IF(ISERROR(VLOOKUP($A43,'liste reference'!$A$6:$H$1174,8,0)),IF(ISERROR(VLOOKUP($A43,'liste reference'!$B$6:$H$1174,7,0)),"",VLOOKUP($A43,'liste reference'!$B$6:$H$1174,7,0)),VLOOKUP($A43,'liste reference'!$A$6:$H$1174,8,0))))</f>
        <v>1598</v>
      </c>
      <c r="R43" s="484" t="n">
        <f aca="false">IF(ISTEXT(H43),"",(B43*$B$7/100)+(C43*$C$7/100))</f>
        <v>0.093</v>
      </c>
      <c r="S43" s="485" t="n">
        <f aca="false">IF(OR(ISTEXT(H43),R43=0),"",IF(R43&lt;0.1,1,IF(R43&lt;1,2,IF(R43&lt;10,3,IF(R43&lt;50,4,IF(R43&gt;=50,5,""))))))</f>
        <v>1</v>
      </c>
      <c r="T43" s="485" t="n">
        <f aca="false">IF(ISERROR(S43*J43),0,S43*J43)</f>
        <v>8</v>
      </c>
      <c r="U43" s="485" t="n">
        <f aca="false">IF(ISERROR(S43*J43*K43),0,S43*J43*K43)</f>
        <v>16</v>
      </c>
      <c r="V43" s="501" t="n">
        <f aca="false">IF(ISERROR(S43*K43),0,S43*K43)</f>
        <v>2</v>
      </c>
      <c r="W43" s="502"/>
      <c r="X43" s="503"/>
      <c r="Y43" s="488" t="str">
        <f aca="false">IF(AND(ISNUMBER(F43),OR(A43="",A43="!!!!!!")),"!!!!!!",IF(A43="new.cod","NEWCOD",IF(AND((Z43=""),ISTEXT(A43),A43&lt;&gt;"!!!!!!"),A43,IF(Z43="","",INDEX('liste reference'!$A$6:$A$1174,Z43)))))</f>
        <v>VALSPI</v>
      </c>
      <c r="Z43" s="470" t="n">
        <f aca="false">IF(ISERROR(MATCH(A43,'liste reference'!$A$6:$A$1174,0)),IF(ISERROR(MATCH(A43,'liste reference'!$B$6:$B$1174,0)),"",(MATCH(A43,'liste reference'!$B$6:$B$1174,0))),(MATCH(A43,'liste reference'!$A$6:$A$1174,0)))</f>
        <v>613</v>
      </c>
    </row>
    <row r="44" customFormat="false" ht="12.75" hidden="false" customHeight="false" outlineLevel="0" collapsed="false">
      <c r="A44" s="489" t="s">
        <v>1932</v>
      </c>
      <c r="B44" s="490" t="n">
        <v>0.1</v>
      </c>
      <c r="C44" s="491" t="n">
        <v>0.01</v>
      </c>
      <c r="D44" s="492" t="str">
        <f aca="false">IF(ISERROR(VLOOKUP($A44,'liste reference'!$A$6:$B$1174,2,0)),IF(ISERROR(VLOOKUP($A44,'liste reference'!$B$6:$B$1174,1,0)),"",VLOOKUP($A44,'liste reference'!$B$6:$B$1174,1,0)),VLOOKUP($A44,'liste reference'!$A$6:$B$1174,2,0))</f>
        <v>Agrostis stolonifera</v>
      </c>
      <c r="E44" s="493" t="e">
        <f aca="false">IF(D44="",0,VLOOKUP(D44,D$22:D43,1,0))</f>
        <v>#N/A</v>
      </c>
      <c r="F44" s="494" t="n">
        <f aca="false">IF(AND(OR(A44="",A44="!!!!!!"),B44="",C44=""),"",IF(OR(AND(B44="",C44=""),ISERROR(C44+B44)),"!!!",($B44*$B$7+$C44*$C$7)/100))</f>
        <v>0.0163</v>
      </c>
      <c r="G44" s="495" t="str">
        <f aca="false">IF(A44="","",IF(ISERROR(VLOOKUP($A44,'liste reference'!$A$6:$Q$1174,9,0)),IF(ISERROR(VLOOKUP($A44,'liste reference'!$B$6:$Q$1174,8,0)),"    -",VLOOKUP($A44,'liste reference'!$B$6:$Q$1174,8,0)),VLOOKUP($A44,'liste reference'!$A$6:$Q$1174,9,0)))</f>
        <v>PHe</v>
      </c>
      <c r="H44" s="496" t="n">
        <f aca="false">IF(A44="","x",IF(ISERROR(VLOOKUP($A44,'liste reference'!$A$6:$Q$1174,10,0)),IF(ISERROR(VLOOKUP($A44,'liste reference'!$B$6:$Q$1174,9,0)),"x",VLOOKUP($A44,'liste reference'!$B$6:$Q$1174,9,0)),VLOOKUP($A44,'liste reference'!$A$6:$Q$1174,10,0)))</f>
        <v>8</v>
      </c>
      <c r="I44" s="281" t="n">
        <f aca="false">IF(A44="","",1)</f>
        <v>1</v>
      </c>
      <c r="J44" s="497" t="n">
        <f aca="false">IF(ISNUMBER($H44),IF(ISERROR(VLOOKUP($A44,'liste reference'!$A$6:$Q$1174,6,0)),IF(ISERROR(VLOOKUP($A44,'liste reference'!$B$6:$Q$1174,5,0)),"nu",VLOOKUP($A44,'liste reference'!$B$6:$Q$1174,5,0)),VLOOKUP($A44,'liste reference'!$A$6:$Q$1174,6,0)),"nu")</f>
        <v>10</v>
      </c>
      <c r="K44" s="497" t="n">
        <f aca="false">IF(ISNUMBER($H44),IF(ISERROR(VLOOKUP($A44,'liste reference'!$A$6:$Q$1174,7,0)),IF(ISERROR(VLOOKUP($A44,'liste reference'!$B$6:$Q$1174,6,0)),"nu",VLOOKUP($A44,'liste reference'!$B$6:$Q$1174,6,0)),VLOOKUP($A44,'liste reference'!$A$6:$Q$1174,7,0)),"nu")</f>
        <v>1</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Agrostis stolonifera</v>
      </c>
      <c r="M44" s="498"/>
      <c r="N44" s="498"/>
      <c r="O44" s="498"/>
      <c r="P44" s="499" t="s">
        <v>3449</v>
      </c>
      <c r="Q44" s="500" t="n">
        <f aca="false">IF(OR($A44="NEWCOD",$A44="!!!!!!"),IF(X44="","NoCod",X44),IF($A44="","",IF(ISERROR(VLOOKUP($A44,'liste reference'!$A$6:$H$1174,8,0)),IF(ISERROR(VLOOKUP($A44,'liste reference'!$B$6:$H$1174,7,0)),"",VLOOKUP($A44,'liste reference'!$B$6:$H$1174,7,0)),VLOOKUP($A44,'liste reference'!$A$6:$H$1174,8,0))))</f>
        <v>1543</v>
      </c>
      <c r="R44" s="484" t="n">
        <f aca="false">IF(ISTEXT(H44),"",(B44*$B$7/100)+(C44*$C$7/100))</f>
        <v>0.0163</v>
      </c>
      <c r="S44" s="485" t="n">
        <f aca="false">IF(OR(ISTEXT(H44),R44=0),"",IF(R44&lt;0.1,1,IF(R44&lt;1,2,IF(R44&lt;10,3,IF(R44&lt;50,4,IF(R44&gt;=50,5,""))))))</f>
        <v>1</v>
      </c>
      <c r="T44" s="485" t="n">
        <f aca="false">IF(ISERROR(S44*J44),0,S44*J44)</f>
        <v>10</v>
      </c>
      <c r="U44" s="485" t="n">
        <f aca="false">IF(ISERROR(S44*J44*K44),0,S44*J44*K44)</f>
        <v>10</v>
      </c>
      <c r="V44" s="501" t="n">
        <f aca="false">IF(ISERROR(S44*K44),0,S44*K44)</f>
        <v>1</v>
      </c>
      <c r="W44" s="502"/>
      <c r="X44" s="503"/>
      <c r="Y44" s="488" t="str">
        <f aca="false">IF(AND(ISNUMBER(F44),OR(A44="",A44="!!!!!!")),"!!!!!!",IF(A44="new.cod","NEWCOD",IF(AND((Z44=""),ISTEXT(A44),A44&lt;&gt;"!!!!!!"),A44,IF(Z44="","",INDEX('liste reference'!$A$6:$A$1174,Z44)))))</f>
        <v>AGRSTO</v>
      </c>
      <c r="Z44" s="470" t="n">
        <f aca="false">IF(ISERROR(MATCH(A44,'liste reference'!$A$6:$A$1174,0)),IF(ISERROR(MATCH(A44,'liste reference'!$B$6:$B$1174,0)),"",(MATCH(A44,'liste reference'!$B$6:$B$1174,0))),(MATCH(A44,'liste reference'!$A$6:$A$1174,0)))</f>
        <v>623</v>
      </c>
    </row>
    <row r="45" customFormat="false" ht="12.75" hidden="false" customHeight="false" outlineLevel="0" collapsed="false">
      <c r="A45" s="489" t="s">
        <v>1936</v>
      </c>
      <c r="B45" s="490" t="n">
        <v>0.1</v>
      </c>
      <c r="C45" s="491" t="n">
        <v>0.1</v>
      </c>
      <c r="D45" s="492" t="str">
        <f aca="false">IF(ISERROR(VLOOKUP($A45,'liste reference'!$A$6:$B$1174,2,0)),IF(ISERROR(VLOOKUP($A45,'liste reference'!$B$6:$B$1174,1,0)),"",VLOOKUP($A45,'liste reference'!$B$6:$B$1174,1,0)),VLOOKUP($A45,'liste reference'!$A$6:$B$1174,2,0))</f>
        <v>Berula erecta</v>
      </c>
      <c r="E45" s="493" t="e">
        <f aca="false">IF(D45="",0,VLOOKUP(D45,D$22:D44,1,0))</f>
        <v>#N/A</v>
      </c>
      <c r="F45" s="494" t="n">
        <f aca="false">IF(AND(OR(A45="",A45="!!!!!!"),B45="",C45=""),"",IF(OR(AND(B45="",C45=""),ISERROR(C45+B45)),"!!!",($B45*$B$7+$C45*$C$7)/100))</f>
        <v>0.1</v>
      </c>
      <c r="G45" s="495" t="str">
        <f aca="false">IF(A45="","",IF(ISERROR(VLOOKUP($A45,'liste reference'!$A$6:$Q$1174,9,0)),IF(ISERROR(VLOOKUP($A45,'liste reference'!$B$6:$Q$1174,8,0)),"    -",VLOOKUP($A45,'liste reference'!$B$6:$Q$1174,8,0)),VLOOKUP($A45,'liste reference'!$A$6:$Q$1174,9,0)))</f>
        <v>PHe</v>
      </c>
      <c r="H45" s="496" t="n">
        <f aca="false">IF(A45="","x",IF(ISERROR(VLOOKUP($A45,'liste reference'!$A$6:$Q$1174,10,0)),IF(ISERROR(VLOOKUP($A45,'liste reference'!$B$6:$Q$1174,9,0)),"x",VLOOKUP($A45,'liste reference'!$B$6:$Q$1174,9,0)),VLOOKUP($A45,'liste reference'!$A$6:$Q$1174,10,0)))</f>
        <v>8</v>
      </c>
      <c r="I45" s="281" t="n">
        <f aca="false">IF(A45="","",1)</f>
        <v>1</v>
      </c>
      <c r="J45" s="497" t="n">
        <f aca="false">IF(ISNUMBER($H45),IF(ISERROR(VLOOKUP($A45,'liste reference'!$A$6:$Q$1174,6,0)),IF(ISERROR(VLOOKUP($A45,'liste reference'!$B$6:$Q$1174,5,0)),"nu",VLOOKUP($A45,'liste reference'!$B$6:$Q$1174,5,0)),VLOOKUP($A45,'liste reference'!$A$6:$Q$1174,6,0)),"nu")</f>
        <v>14</v>
      </c>
      <c r="K45" s="497" t="n">
        <f aca="false">IF(ISNUMBER($H45),IF(ISERROR(VLOOKUP($A45,'liste reference'!$A$6:$Q$1174,7,0)),IF(ISERROR(VLOOKUP($A45,'liste reference'!$B$6:$Q$1174,6,0)),"nu",VLOOKUP($A45,'liste reference'!$B$6:$Q$1174,6,0)),VLOOKUP($A45,'liste reference'!$A$6:$Q$1174,7,0)),"nu")</f>
        <v>2</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Berula erecta</v>
      </c>
      <c r="M45" s="498"/>
      <c r="N45" s="498"/>
      <c r="O45" s="498"/>
      <c r="P45" s="499" t="s">
        <v>3448</v>
      </c>
      <c r="Q45" s="500" t="n">
        <f aca="false">IF(OR($A45="NEWCOD",$A45="!!!!!!"),IF(X45="","NoCod",X45),IF($A45="","",IF(ISERROR(VLOOKUP($A45,'liste reference'!$A$6:$H$1174,8,0)),IF(ISERROR(VLOOKUP($A45,'liste reference'!$B$6:$H$1174,7,0)),"",VLOOKUP($A45,'liste reference'!$B$6:$H$1174,7,0)),VLOOKUP($A45,'liste reference'!$A$6:$H$1174,8,0))))</f>
        <v>1977</v>
      </c>
      <c r="R45" s="484" t="n">
        <f aca="false">IF(ISTEXT(H45),"",(B45*$B$7/100)+(C45*$C$7/100))</f>
        <v>0.1</v>
      </c>
      <c r="S45" s="485" t="n">
        <f aca="false">IF(OR(ISTEXT(H45),R45=0),"",IF(R45&lt;0.1,1,IF(R45&lt;1,2,IF(R45&lt;10,3,IF(R45&lt;50,4,IF(R45&gt;=50,5,""))))))</f>
        <v>2</v>
      </c>
      <c r="T45" s="485" t="n">
        <f aca="false">IF(ISERROR(S45*J45),0,S45*J45)</f>
        <v>28</v>
      </c>
      <c r="U45" s="485" t="n">
        <f aca="false">IF(ISERROR(S45*J45*K45),0,S45*J45*K45)</f>
        <v>56</v>
      </c>
      <c r="V45" s="501" t="n">
        <f aca="false">IF(ISERROR(S45*K45),0,S45*K45)</f>
        <v>4</v>
      </c>
      <c r="W45" s="502"/>
      <c r="X45" s="503"/>
      <c r="Y45" s="488" t="str">
        <f aca="false">IF(AND(ISNUMBER(F45),OR(A45="",A45="!!!!!!")),"!!!!!!",IF(A45="new.cod","NEWCOD",IF(AND((Z45=""),ISTEXT(A45),A45&lt;&gt;"!!!!!!"),A45,IF(Z45="","",INDEX('liste reference'!$A$6:$A$1174,Z45)))))</f>
        <v>BERERE</v>
      </c>
      <c r="Z45" s="470" t="n">
        <f aca="false">IF(ISERROR(MATCH(A45,'liste reference'!$A$6:$A$1174,0)),IF(ISERROR(MATCH(A45,'liste reference'!$B$6:$B$1174,0)),"",(MATCH(A45,'liste reference'!$B$6:$B$1174,0))),(MATCH(A45,'liste reference'!$A$6:$A$1174,0)))</f>
        <v>625</v>
      </c>
    </row>
    <row r="46" customFormat="false" ht="12.75" hidden="false" customHeight="false" outlineLevel="0" collapsed="false">
      <c r="A46" s="489" t="s">
        <v>2136</v>
      </c>
      <c r="B46" s="490" t="n">
        <v>1</v>
      </c>
      <c r="C46" s="491" t="n">
        <v>1.5</v>
      </c>
      <c r="D46" s="492" t="str">
        <f aca="false">IF(ISERROR(VLOOKUP($A46,'liste reference'!$A$6:$B$1174,2,0)),IF(ISERROR(VLOOKUP($A46,'liste reference'!$B$6:$B$1174,1,0)),"",VLOOKUP($A46,'liste reference'!$B$6:$B$1174,1,0)),VLOOKUP($A46,'liste reference'!$A$6:$B$1174,2,0))</f>
        <v>Mentha aquatica</v>
      </c>
      <c r="E46" s="493" t="e">
        <f aca="false">IF(D46="",0,VLOOKUP(D46,D$22:D45,1,0))</f>
        <v>#N/A</v>
      </c>
      <c r="F46" s="494" t="n">
        <f aca="false">IF(AND(OR(A46="",A46="!!!!!!"),B46="",C46=""),"",IF(OR(AND(B46="",C46=""),ISERROR(C46+B46)),"!!!",($B46*$B$7+$C46*$C$7)/100))</f>
        <v>1.465</v>
      </c>
      <c r="G46" s="495" t="str">
        <f aca="false">IF(A46="","",IF(ISERROR(VLOOKUP($A46,'liste reference'!$A$6:$Q$1174,9,0)),IF(ISERROR(VLOOKUP($A46,'liste reference'!$B$6:$Q$1174,8,0)),"    -",VLOOKUP($A46,'liste reference'!$B$6:$Q$1174,8,0)),VLOOKUP($A46,'liste reference'!$A$6:$Q$1174,9,0)))</f>
        <v>PHe</v>
      </c>
      <c r="H46" s="496" t="n">
        <f aca="false">IF(A46="","x",IF(ISERROR(VLOOKUP($A46,'liste reference'!$A$6:$Q$1174,10,0)),IF(ISERROR(VLOOKUP($A46,'liste reference'!$B$6:$Q$1174,9,0)),"x",VLOOKUP($A46,'liste reference'!$B$6:$Q$1174,9,0)),VLOOKUP($A46,'liste reference'!$A$6:$Q$1174,10,0)))</f>
        <v>8</v>
      </c>
      <c r="I46" s="281" t="n">
        <f aca="false">IF(A46="","",1)</f>
        <v>1</v>
      </c>
      <c r="J46" s="497" t="n">
        <f aca="false">IF(ISNUMBER($H46),IF(ISERROR(VLOOKUP($A46,'liste reference'!$A$6:$Q$1174,6,0)),IF(ISERROR(VLOOKUP($A46,'liste reference'!$B$6:$Q$1174,5,0)),"nu",VLOOKUP($A46,'liste reference'!$B$6:$Q$1174,5,0)),VLOOKUP($A46,'liste reference'!$A$6:$Q$1174,6,0)),"nu")</f>
        <v>12</v>
      </c>
      <c r="K46" s="497" t="n">
        <f aca="false">IF(ISNUMBER($H46),IF(ISERROR(VLOOKUP($A46,'liste reference'!$A$6:$Q$1174,7,0)),IF(ISERROR(VLOOKUP($A46,'liste reference'!$B$6:$Q$1174,6,0)),"nu",VLOOKUP($A46,'liste reference'!$B$6:$Q$1174,6,0)),VLOOKUP($A46,'liste reference'!$A$6:$Q$1174,7,0)),"nu")</f>
        <v>1</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Mentha aquatica</v>
      </c>
      <c r="M46" s="498"/>
      <c r="N46" s="498"/>
      <c r="O46" s="498"/>
      <c r="P46" s="499" t="s">
        <v>3448</v>
      </c>
      <c r="Q46" s="500" t="n">
        <f aca="false">IF(OR($A46="NEWCOD",$A46="!!!!!!"),IF(X46="","NoCod",X46),IF($A46="","",IF(ISERROR(VLOOKUP($A46,'liste reference'!$A$6:$H$1174,8,0)),IF(ISERROR(VLOOKUP($A46,'liste reference'!$B$6:$H$1174,7,0)),"",VLOOKUP($A46,'liste reference'!$B$6:$H$1174,7,0)),VLOOKUP($A46,'liste reference'!$A$6:$H$1174,8,0))))</f>
        <v>1791</v>
      </c>
      <c r="R46" s="484" t="n">
        <f aca="false">IF(ISTEXT(H46),"",(B46*$B$7/100)+(C46*$C$7/100))</f>
        <v>1.465</v>
      </c>
      <c r="S46" s="485" t="n">
        <f aca="false">IF(OR(ISTEXT(H46),R46=0),"",IF(R46&lt;0.1,1,IF(R46&lt;1,2,IF(R46&lt;10,3,IF(R46&lt;50,4,IF(R46&gt;=50,5,""))))))</f>
        <v>3</v>
      </c>
      <c r="T46" s="485" t="n">
        <f aca="false">IF(ISERROR(S46*J46),0,S46*J46)</f>
        <v>36</v>
      </c>
      <c r="U46" s="485" t="n">
        <f aca="false">IF(ISERROR(S46*J46*K46),0,S46*J46*K46)</f>
        <v>36</v>
      </c>
      <c r="V46" s="501" t="n">
        <f aca="false">IF(ISERROR(S46*K46),0,S46*K46)</f>
        <v>3</v>
      </c>
      <c r="W46" s="502"/>
      <c r="X46" s="503"/>
      <c r="Y46" s="488" t="str">
        <f aca="false">IF(AND(ISNUMBER(F46),OR(A46="",A46="!!!!!!")),"!!!!!!",IF(A46="new.cod","NEWCOD",IF(AND((Z46=""),ISTEXT(A46),A46&lt;&gt;"!!!!!!"),A46,IF(Z46="","",INDEX('liste reference'!$A$6:$A$1174,Z46)))))</f>
        <v>MENAQU</v>
      </c>
      <c r="Z46" s="470" t="n">
        <f aca="false">IF(ISERROR(MATCH(A46,'liste reference'!$A$6:$A$1174,0)),IF(ISERROR(MATCH(A46,'liste reference'!$B$6:$B$1174,0)),"",(MATCH(A46,'liste reference'!$B$6:$B$1174,0))),(MATCH(A46,'liste reference'!$A$6:$A$1174,0)))</f>
        <v>694</v>
      </c>
    </row>
    <row r="47" customFormat="false" ht="12.75" hidden="false" customHeight="false" outlineLevel="0" collapsed="false">
      <c r="A47" s="489" t="s">
        <v>2164</v>
      </c>
      <c r="B47" s="490"/>
      <c r="C47" s="491" t="n">
        <v>0.01</v>
      </c>
      <c r="D47" s="492" t="str">
        <f aca="false">IF(ISERROR(VLOOKUP($A47,'liste reference'!$A$6:$B$1174,2,0)),IF(ISERROR(VLOOKUP($A47,'liste reference'!$B$6:$B$1174,1,0)),"",VLOOKUP($A47,'liste reference'!$B$6:$B$1174,1,0)),VLOOKUP($A47,'liste reference'!$A$6:$B$1174,2,0))</f>
        <v>Nasturtium officinale</v>
      </c>
      <c r="E47" s="493" t="e">
        <f aca="false">IF(D47="",0,VLOOKUP(D47,D$22:D46,1,0))</f>
        <v>#N/A</v>
      </c>
      <c r="F47" s="494" t="n">
        <f aca="false">IF(AND(OR(A47="",A47="!!!!!!"),B47="",C47=""),"",IF(OR(AND(B47="",C47=""),ISERROR(C47+B47)),"!!!",($B47*$B$7+$C47*$C$7)/100))</f>
        <v>0.0093</v>
      </c>
      <c r="G47" s="495" t="str">
        <f aca="false">IF(A47="","",IF(ISERROR(VLOOKUP($A47,'liste reference'!$A$6:$Q$1174,9,0)),IF(ISERROR(VLOOKUP($A47,'liste reference'!$B$6:$Q$1174,8,0)),"    -",VLOOKUP($A47,'liste reference'!$B$6:$Q$1174,8,0)),VLOOKUP($A47,'liste reference'!$A$6:$Q$1174,9,0)))</f>
        <v>PHe</v>
      </c>
      <c r="H47" s="496" t="n">
        <f aca="false">IF(A47="","x",IF(ISERROR(VLOOKUP($A47,'liste reference'!$A$6:$Q$1174,10,0)),IF(ISERROR(VLOOKUP($A47,'liste reference'!$B$6:$Q$1174,9,0)),"x",VLOOKUP($A47,'liste reference'!$B$6:$Q$1174,9,0)),VLOOKUP($A47,'liste reference'!$A$6:$Q$1174,10,0)))</f>
        <v>8</v>
      </c>
      <c r="I47" s="281" t="n">
        <f aca="false">IF(A47="","",1)</f>
        <v>1</v>
      </c>
      <c r="J47" s="497" t="n">
        <f aca="false">IF(ISNUMBER($H47),IF(ISERROR(VLOOKUP($A47,'liste reference'!$A$6:$Q$1174,6,0)),IF(ISERROR(VLOOKUP($A47,'liste reference'!$B$6:$Q$1174,5,0)),"nu",VLOOKUP($A47,'liste reference'!$B$6:$Q$1174,5,0)),VLOOKUP($A47,'liste reference'!$A$6:$Q$1174,6,0)),"nu")</f>
        <v>11</v>
      </c>
      <c r="K47" s="497" t="n">
        <f aca="false">IF(ISNUMBER($H47),IF(ISERROR(VLOOKUP($A47,'liste reference'!$A$6:$Q$1174,7,0)),IF(ISERROR(VLOOKUP($A47,'liste reference'!$B$6:$Q$1174,6,0)),"nu",VLOOKUP($A47,'liste reference'!$B$6:$Q$1174,6,0)),VLOOKUP($A47,'liste reference'!$A$6:$Q$1174,7,0)),"nu")</f>
        <v>1</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Nasturtium officinale</v>
      </c>
      <c r="M47" s="498"/>
      <c r="N47" s="498"/>
      <c r="O47" s="498"/>
      <c r="P47" s="499" t="s">
        <v>3448</v>
      </c>
      <c r="Q47" s="500" t="n">
        <f aca="false">IF(OR($A47="NEWCOD",$A47="!!!!!!"),IF(X47="","NoCod",X47),IF($A47="","",IF(ISERROR(VLOOKUP($A47,'liste reference'!$A$6:$H$1174,8,0)),IF(ISERROR(VLOOKUP($A47,'liste reference'!$B$6:$H$1174,7,0)),"",VLOOKUP($A47,'liste reference'!$B$6:$H$1174,7,0)),VLOOKUP($A47,'liste reference'!$A$6:$H$1174,8,0))))</f>
        <v>1763</v>
      </c>
      <c r="R47" s="484" t="n">
        <f aca="false">IF(ISTEXT(H47),"",(B47*$B$7/100)+(C47*$C$7/100))</f>
        <v>0.0093</v>
      </c>
      <c r="S47" s="485" t="n">
        <f aca="false">IF(OR(ISTEXT(H47),R47=0),"",IF(R47&lt;0.1,1,IF(R47&lt;1,2,IF(R47&lt;10,3,IF(R47&lt;50,4,IF(R47&gt;=50,5,""))))))</f>
        <v>1</v>
      </c>
      <c r="T47" s="485" t="n">
        <f aca="false">IF(ISERROR(S47*J47),0,S47*J47)</f>
        <v>11</v>
      </c>
      <c r="U47" s="485" t="n">
        <f aca="false">IF(ISERROR(S47*J47*K47),0,S47*J47*K47)</f>
        <v>11</v>
      </c>
      <c r="V47" s="501" t="n">
        <f aca="false">IF(ISERROR(S47*K47),0,S47*K47)</f>
        <v>1</v>
      </c>
      <c r="W47" s="502"/>
      <c r="X47" s="503"/>
      <c r="Y47" s="488" t="str">
        <f aca="false">IF(AND(ISNUMBER(F47),OR(A47="",A47="!!!!!!")),"!!!!!!",IF(A47="new.cod","NEWCOD",IF(AND((Z47=""),ISTEXT(A47),A47&lt;&gt;"!!!!!!"),A47,IF(Z47="","",INDEX('liste reference'!$A$6:$A$1174,Z47)))))</f>
        <v>NASOFF</v>
      </c>
      <c r="Z47" s="470" t="n">
        <f aca="false">IF(ISERROR(MATCH(A47,'liste reference'!$A$6:$A$1174,0)),IF(ISERROR(MATCH(A47,'liste reference'!$B$6:$B$1174,0)),"",(MATCH(A47,'liste reference'!$B$6:$B$1174,0))),(MATCH(A47,'liste reference'!$A$6:$A$1174,0)))</f>
        <v>704</v>
      </c>
    </row>
    <row r="48" customFormat="false" ht="12.75" hidden="false" customHeight="false" outlineLevel="0" collapsed="false">
      <c r="A48" s="489" t="s">
        <v>2210</v>
      </c>
      <c r="B48" s="490"/>
      <c r="C48" s="491" t="n">
        <v>0.005</v>
      </c>
      <c r="D48" s="492" t="str">
        <f aca="false">IF(ISERROR(VLOOKUP($A48,'liste reference'!$A$6:$B$1174,2,0)),IF(ISERROR(VLOOKUP($A48,'liste reference'!$B$6:$B$1174,1,0)),"",VLOOKUP($A48,'liste reference'!$B$6:$B$1174,1,0)),VLOOKUP($A48,'liste reference'!$A$6:$B$1174,2,0))</f>
        <v>Schoenoplectus lacustris</v>
      </c>
      <c r="E48" s="493" t="e">
        <f aca="false">IF(D48="",0,VLOOKUP(D48,D$22:D47,1,0))</f>
        <v>#N/A</v>
      </c>
      <c r="F48" s="494" t="n">
        <f aca="false">IF(AND(OR(A48="",A48="!!!!!!"),B48="",C48=""),"",IF(OR(AND(B48="",C48=""),ISERROR(C48+B48)),"!!!",($B48*$B$7+$C48*$C$7)/100))</f>
        <v>0.00465</v>
      </c>
      <c r="G48" s="495" t="str">
        <f aca="false">IF(A48="","",IF(ISERROR(VLOOKUP($A48,'liste reference'!$A$6:$Q$1174,9,0)),IF(ISERROR(VLOOKUP($A48,'liste reference'!$B$6:$Q$1174,8,0)),"    -",VLOOKUP($A48,'liste reference'!$B$6:$Q$1174,8,0)),VLOOKUP($A48,'liste reference'!$A$6:$Q$1174,9,0)))</f>
        <v>PHe</v>
      </c>
      <c r="H48" s="496" t="n">
        <f aca="false">IF(A48="","x",IF(ISERROR(VLOOKUP($A48,'liste reference'!$A$6:$Q$1174,10,0)),IF(ISERROR(VLOOKUP($A48,'liste reference'!$B$6:$Q$1174,9,0)),"x",VLOOKUP($A48,'liste reference'!$B$6:$Q$1174,9,0)),VLOOKUP($A48,'liste reference'!$A$6:$Q$1174,10,0)))</f>
        <v>8</v>
      </c>
      <c r="I48" s="281" t="n">
        <f aca="false">IF(A48="","",1)</f>
        <v>1</v>
      </c>
      <c r="J48" s="497" t="n">
        <f aca="false">IF(ISNUMBER($H48),IF(ISERROR(VLOOKUP($A48,'liste reference'!$A$6:$Q$1174,6,0)),IF(ISERROR(VLOOKUP($A48,'liste reference'!$B$6:$Q$1174,5,0)),"nu",VLOOKUP($A48,'liste reference'!$B$6:$Q$1174,5,0)),VLOOKUP($A48,'liste reference'!$A$6:$Q$1174,6,0)),"nu")</f>
        <v>8</v>
      </c>
      <c r="K48" s="497" t="n">
        <f aca="false">IF(ISNUMBER($H48),IF(ISERROR(VLOOKUP($A48,'liste reference'!$A$6:$Q$1174,7,0)),IF(ISERROR(VLOOKUP($A48,'liste reference'!$B$6:$Q$1174,6,0)),"nu",VLOOKUP($A48,'liste reference'!$B$6:$Q$1174,6,0)),VLOOKUP($A48,'liste reference'!$A$6:$Q$1174,7,0)),"nu")</f>
        <v>2</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Schoenoplectus lacustris</v>
      </c>
      <c r="M48" s="498"/>
      <c r="N48" s="498"/>
      <c r="O48" s="498"/>
      <c r="P48" s="499" t="s">
        <v>3448</v>
      </c>
      <c r="Q48" s="500" t="n">
        <f aca="false">IF(OR($A48="NEWCOD",$A48="!!!!!!"),IF(X48="","NoCod",X48),IF($A48="","",IF(ISERROR(VLOOKUP($A48,'liste reference'!$A$6:$H$1174,8,0)),IF(ISERROR(VLOOKUP($A48,'liste reference'!$B$6:$H$1174,7,0)),"",VLOOKUP($A48,'liste reference'!$B$6:$H$1174,7,0)),VLOOKUP($A48,'liste reference'!$A$6:$H$1174,8,0))))</f>
        <v>31026</v>
      </c>
      <c r="R48" s="484" t="n">
        <f aca="false">IF(ISTEXT(H48),"",(B48*$B$7/100)+(C48*$C$7/100))</f>
        <v>0.00465</v>
      </c>
      <c r="S48" s="485" t="n">
        <f aca="false">IF(OR(ISTEXT(H48),R48=0),"",IF(R48&lt;0.1,1,IF(R48&lt;1,2,IF(R48&lt;10,3,IF(R48&lt;50,4,IF(R48&gt;=50,5,""))))))</f>
        <v>1</v>
      </c>
      <c r="T48" s="485" t="n">
        <f aca="false">IF(ISERROR(S48*J48),0,S48*J48)</f>
        <v>8</v>
      </c>
      <c r="U48" s="485" t="n">
        <f aca="false">IF(ISERROR(S48*J48*K48),0,S48*J48*K48)</f>
        <v>16</v>
      </c>
      <c r="V48" s="501" t="n">
        <f aca="false">IF(ISERROR(S48*K48),0,S48*K48)</f>
        <v>2</v>
      </c>
      <c r="W48" s="502"/>
      <c r="X48" s="503"/>
      <c r="Y48" s="488" t="str">
        <f aca="false">IF(AND(ISNUMBER(F48),OR(A48="",A48="!!!!!!")),"!!!!!!",IF(A48="new.cod","NEWCOD",IF(AND((Z48=""),ISTEXT(A48),A48&lt;&gt;"!!!!!!"),A48,IF(Z48="","",INDEX('liste reference'!$A$6:$A$1174,Z48)))))</f>
        <v>SCNLAC</v>
      </c>
      <c r="Z48" s="470" t="n">
        <f aca="false">IF(ISERROR(MATCH(A48,'liste reference'!$A$6:$A$1174,0)),IF(ISERROR(MATCH(A48,'liste reference'!$B$6:$B$1174,0)),"",(MATCH(A48,'liste reference'!$B$6:$B$1174,0))),(MATCH(A48,'liste reference'!$A$6:$A$1174,0)))</f>
        <v>722</v>
      </c>
    </row>
    <row r="49" customFormat="false" ht="12.75" hidden="false" customHeight="false" outlineLevel="0" collapsed="false">
      <c r="A49" s="489" t="s">
        <v>2699</v>
      </c>
      <c r="B49" s="490"/>
      <c r="C49" s="491" t="n">
        <v>0.005</v>
      </c>
      <c r="D49" s="492" t="str">
        <f aca="false">IF(ISERROR(VLOOKUP($A49,'liste reference'!$A$6:$B$1174,2,0)),IF(ISERROR(VLOOKUP($A49,'liste reference'!$B$6:$B$1174,1,0)),"",VLOOKUP($A49,'liste reference'!$B$6:$B$1174,1,0)),VLOOKUP($A49,'liste reference'!$A$6:$B$1174,2,0))</f>
        <v>Lythrum salicaria</v>
      </c>
      <c r="E49" s="493" t="e">
        <f aca="false">IF(D49="",0,VLOOKUP(D49,D$22:D48,1,0))</f>
        <v>#N/A</v>
      </c>
      <c r="F49" s="494" t="n">
        <f aca="false">IF(AND(OR(A49="",A49="!!!!!!"),B49="",C49=""),"",IF(OR(AND(B49="",C49=""),ISERROR(C49+B49)),"!!!",($B49*$B$7+$C49*$C$7)/100))</f>
        <v>0.00465</v>
      </c>
      <c r="G49" s="495" t="str">
        <f aca="false">IF(A49="","",IF(ISERROR(VLOOKUP($A49,'liste reference'!$A$6:$Q$1174,9,0)),IF(ISERROR(VLOOKUP($A49,'liste reference'!$B$6:$Q$1174,8,0)),"    -",VLOOKUP($A49,'liste reference'!$B$6:$Q$1174,8,0)),VLOOKUP($A49,'liste reference'!$A$6:$Q$1174,9,0)))</f>
        <v>PHg</v>
      </c>
      <c r="H49" s="496" t="n">
        <f aca="false">IF(A49="","x",IF(ISERROR(VLOOKUP($A49,'liste reference'!$A$6:$Q$1174,10,0)),IF(ISERROR(VLOOKUP($A49,'liste reference'!$B$6:$Q$1174,9,0)),"x",VLOOKUP($A49,'liste reference'!$B$6:$Q$1174,9,0)),VLOOKUP($A49,'liste reference'!$A$6:$Q$1174,10,0)))</f>
        <v>9</v>
      </c>
      <c r="I49" s="281" t="n">
        <f aca="false">IF(A49="","",1)</f>
        <v>1</v>
      </c>
      <c r="J49" s="497" t="str">
        <f aca="false">IF(ISNUMBER($H49),IF(ISERROR(VLOOKUP($A49,'liste reference'!$A$6:$Q$1174,6,0)),IF(ISERROR(VLOOKUP($A49,'liste reference'!$B$6:$Q$1174,5,0)),"nu",VLOOKUP($A49,'liste reference'!$B$6:$Q$1174,5,0)),VLOOKUP($A49,'liste reference'!$A$6:$Q$1174,6,0)),"nu")</f>
        <v>nc</v>
      </c>
      <c r="K49" s="497" t="str">
        <f aca="false">IF(ISNUMBER($H49),IF(ISERROR(VLOOKUP($A49,'liste reference'!$A$6:$Q$1174,7,0)),IF(ISERROR(VLOOKUP($A49,'liste reference'!$B$6:$Q$1174,6,0)),"nu",VLOOKUP($A49,'liste reference'!$B$6:$Q$1174,6,0)),VLOOKUP($A49,'liste reference'!$A$6:$Q$1174,7,0)),"nu")</f>
        <v>nc</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Lythrum salicaria</v>
      </c>
      <c r="M49" s="498"/>
      <c r="N49" s="498"/>
      <c r="O49" s="498"/>
      <c r="P49" s="499" t="s">
        <v>3448</v>
      </c>
      <c r="Q49" s="500" t="n">
        <f aca="false">IF(OR($A49="NEWCOD",$A49="!!!!!!"),IF(X49="","NoCod",X49),IF($A49="","",IF(ISERROR(VLOOKUP($A49,'liste reference'!$A$6:$H$1174,8,0)),IF(ISERROR(VLOOKUP($A49,'liste reference'!$B$6:$H$1174,7,0)),"",VLOOKUP($A49,'liste reference'!$B$6:$H$1174,7,0)),VLOOKUP($A49,'liste reference'!$A$6:$H$1174,8,0))))</f>
        <v>1823</v>
      </c>
      <c r="R49" s="484" t="n">
        <f aca="false">IF(ISTEXT(H49),"",(B49*$B$7/100)+(C49*$C$7/100))</f>
        <v>0.00465</v>
      </c>
      <c r="S49" s="485" t="n">
        <f aca="false">IF(OR(ISTEXT(H49),R49=0),"",IF(R49&lt;0.1,1,IF(R49&lt;1,2,IF(R49&lt;10,3,IF(R49&lt;50,4,IF(R49&gt;=50,5,""))))))</f>
        <v>1</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LYTSAL</v>
      </c>
      <c r="Z49" s="470" t="n">
        <f aca="false">IF(ISERROR(MATCH(A49,'liste reference'!$A$6:$A$1174,0)),IF(ISERROR(MATCH(A49,'liste reference'!$B$6:$B$1174,0)),"",(MATCH(A49,'liste reference'!$B$6:$B$1174,0))),(MATCH(A49,'liste reference'!$A$6:$A$1174,0)))</f>
        <v>902</v>
      </c>
    </row>
    <row r="50" customFormat="false" ht="12.75" hidden="false" customHeight="false" outlineLevel="0" collapsed="false">
      <c r="A50" s="489" t="s">
        <v>2860</v>
      </c>
      <c r="B50" s="490"/>
      <c r="C50" s="491" t="n">
        <v>0.005</v>
      </c>
      <c r="D50" s="492" t="str">
        <f aca="false">IF(ISERROR(VLOOKUP($A50,'liste reference'!$A$6:$B$1174,2,0)),IF(ISERROR(VLOOKUP($A50,'liste reference'!$B$6:$B$1174,1,0)),"",VLOOKUP($A50,'liste reference'!$B$6:$B$1174,1,0)),VLOOKUP($A50,'liste reference'!$A$6:$B$1174,2,0))</f>
        <v>Samolus valerandi</v>
      </c>
      <c r="E50" s="493" t="e">
        <f aca="false">IF(D50="",0,VLOOKUP(D50,D$22:D49,1,0))</f>
        <v>#N/A</v>
      </c>
      <c r="F50" s="494" t="n">
        <f aca="false">IF(AND(OR(A50="",A50="!!!!!!"),B50="",C50=""),"",IF(OR(AND(B50="",C50=""),ISERROR(C50+B50)),"!!!",($B50*$B$7+$C50*$C$7)/100))</f>
        <v>0.00465</v>
      </c>
      <c r="G50" s="495" t="str">
        <f aca="false">IF(A50="","",IF(ISERROR(VLOOKUP($A50,'liste reference'!$A$6:$Q$1174,9,0)),IF(ISERROR(VLOOKUP($A50,'liste reference'!$B$6:$Q$1174,8,0)),"    -",VLOOKUP($A50,'liste reference'!$B$6:$Q$1174,8,0)),VLOOKUP($A50,'liste reference'!$A$6:$Q$1174,9,0)))</f>
        <v>PHg</v>
      </c>
      <c r="H50" s="496" t="n">
        <f aca="false">IF(A50="","x",IF(ISERROR(VLOOKUP($A50,'liste reference'!$A$6:$Q$1174,10,0)),IF(ISERROR(VLOOKUP($A50,'liste reference'!$B$6:$Q$1174,9,0)),"x",VLOOKUP($A50,'liste reference'!$B$6:$Q$1174,9,0)),VLOOKUP($A50,'liste reference'!$A$6:$Q$1174,10,0)))</f>
        <v>9</v>
      </c>
      <c r="I50" s="281" t="n">
        <f aca="false">IF(A50="","",1)</f>
        <v>1</v>
      </c>
      <c r="J50" s="497" t="str">
        <f aca="false">IF(ISNUMBER($H50),IF(ISERROR(VLOOKUP($A50,'liste reference'!$A$6:$Q$1174,6,0)),IF(ISERROR(VLOOKUP($A50,'liste reference'!$B$6:$Q$1174,5,0)),"nu",VLOOKUP($A50,'liste reference'!$B$6:$Q$1174,5,0)),VLOOKUP($A50,'liste reference'!$A$6:$Q$1174,6,0)),"nu")</f>
        <v>nc</v>
      </c>
      <c r="K50" s="497" t="str">
        <f aca="false">IF(ISNUMBER($H50),IF(ISERROR(VLOOKUP($A50,'liste reference'!$A$6:$Q$1174,7,0)),IF(ISERROR(VLOOKUP($A50,'liste reference'!$B$6:$Q$1174,6,0)),"nu",VLOOKUP($A50,'liste reference'!$B$6:$Q$1174,6,0)),VLOOKUP($A50,'liste reference'!$A$6:$Q$1174,7,0)),"nu")</f>
        <v>nc</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Samolus valerandi</v>
      </c>
      <c r="M50" s="498"/>
      <c r="N50" s="498"/>
      <c r="O50" s="498"/>
      <c r="P50" s="499" t="s">
        <v>3448</v>
      </c>
      <c r="Q50" s="500" t="n">
        <f aca="false">IF(OR($A50="NEWCOD",$A50="!!!!!!"),IF(X50="","NoCod",X50),IF($A50="","",IF(ISERROR(VLOOKUP($A50,'liste reference'!$A$6:$H$1174,8,0)),IF(ISERROR(VLOOKUP($A50,'liste reference'!$B$6:$H$1174,7,0)),"",VLOOKUP($A50,'liste reference'!$B$6:$H$1174,7,0)),VLOOKUP($A50,'liste reference'!$A$6:$H$1174,8,0))))</f>
        <v>1889</v>
      </c>
      <c r="R50" s="484" t="n">
        <f aca="false">IF(ISTEXT(H50),"",(B50*$B$7/100)+(C50*$C$7/100))</f>
        <v>0.00465</v>
      </c>
      <c r="S50" s="485" t="n">
        <f aca="false">IF(OR(ISTEXT(H50),R50=0),"",IF(R50&lt;0.1,1,IF(R50&lt;1,2,IF(R50&lt;10,3,IF(R50&lt;50,4,IF(R50&gt;=50,5,""))))))</f>
        <v>1</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SAMVAL</v>
      </c>
      <c r="Z50" s="470" t="n">
        <f aca="false">IF(ISERROR(MATCH(A50,'liste reference'!$A$6:$A$1174,0)),IF(ISERROR(MATCH(A50,'liste reference'!$B$6:$B$1174,0)),"",(MATCH(A50,'liste reference'!$B$6:$B$1174,0))),(MATCH(A50,'liste reference'!$A$6:$A$1174,0)))</f>
        <v>958</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114.34775</v>
      </c>
      <c r="G83" s="424"/>
      <c r="H83" s="424"/>
      <c r="I83" s="424"/>
      <c r="J83" s="424"/>
      <c r="K83" s="424"/>
      <c r="L83" s="424"/>
      <c r="M83" s="485"/>
      <c r="N83" s="485"/>
      <c r="O83" s="485"/>
      <c r="P83" s="485"/>
      <c r="Q83" s="485"/>
      <c r="R83" s="485"/>
      <c r="S83" s="485"/>
      <c r="T83" s="485"/>
      <c r="U83" s="485"/>
      <c r="V83" s="485" t="n">
        <f aca="false">SUM(V23:V82)</f>
        <v>69</v>
      </c>
      <c r="W83" s="485"/>
      <c r="X83" s="523"/>
      <c r="Y83" s="523"/>
      <c r="Z83" s="524"/>
    </row>
    <row r="84" customFormat="false" ht="12.75" hidden="true" customHeight="false" outlineLevel="0" collapsed="false">
      <c r="A84" s="518" t="str">
        <f aca="false">A3</f>
        <v>LEZ (34)</v>
      </c>
      <c r="B84" s="453" t="str">
        <f aca="false">C3</f>
        <v>LEZ A PRADES-LE-LEZ 3</v>
      </c>
      <c r="C84" s="525" t="str">
        <f aca="false">A4</f>
        <v>(Date)</v>
      </c>
      <c r="D84" s="526" t="n">
        <f aca="false">IF(OR(ISERROR(SUM($U$23:$U$82)/SUM($V$23:$V$82)),F7&lt;&gt;100),-1,SUM($U$23:$U$82)/SUM($V$23:$V$82))</f>
        <v>10.7246376811594</v>
      </c>
      <c r="E84" s="527" t="n">
        <f aca="false">O13</f>
        <v>28</v>
      </c>
      <c r="F84" s="453" t="n">
        <f aca="false">O14</f>
        <v>21</v>
      </c>
      <c r="G84" s="453" t="n">
        <f aca="false">O15</f>
        <v>9</v>
      </c>
      <c r="H84" s="453" t="n">
        <f aca="false">O16</f>
        <v>9</v>
      </c>
      <c r="I84" s="453" t="n">
        <f aca="false">O17</f>
        <v>3</v>
      </c>
      <c r="J84" s="528" t="n">
        <f aca="false">O8</f>
        <v>10.5714285714286</v>
      </c>
      <c r="K84" s="529" t="n">
        <f aca="false">O9</f>
        <v>3.28881840949181</v>
      </c>
      <c r="L84" s="530" t="n">
        <f aca="false">O10</f>
        <v>4</v>
      </c>
      <c r="M84" s="530" t="n">
        <f aca="false">O11</f>
        <v>20</v>
      </c>
      <c r="N84" s="529" t="n">
        <f aca="false">P8</f>
        <v>1.71428571428571</v>
      </c>
      <c r="O84" s="529" t="n">
        <f aca="false">P9</f>
        <v>0.699854212223765</v>
      </c>
      <c r="P84" s="530" t="n">
        <f aca="false">P10</f>
        <v>1</v>
      </c>
      <c r="Q84" s="530" t="n">
        <f aca="false">P11</f>
        <v>3</v>
      </c>
      <c r="R84" s="530" t="n">
        <f aca="false">F21</f>
        <v>114.34775</v>
      </c>
      <c r="S84" s="530" t="n">
        <f aca="false">L11</f>
        <v>0</v>
      </c>
      <c r="T84" s="530" t="n">
        <f aca="false">L12</f>
        <v>6</v>
      </c>
      <c r="U84" s="530" t="n">
        <f aca="false">L13</f>
        <v>8</v>
      </c>
      <c r="V84" s="531" t="n">
        <f aca="false">L15</f>
        <v>13</v>
      </c>
      <c r="W84" s="532" t="n">
        <f aca="false">L15</f>
        <v>13</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3450</v>
      </c>
      <c r="S86" s="281"/>
      <c r="T86" s="536"/>
      <c r="U86" s="281"/>
      <c r="V86" s="281"/>
    </row>
    <row r="87" customFormat="false" ht="12.75" hidden="true" customHeight="false" outlineLevel="0" collapsed="false">
      <c r="C87" s="534"/>
      <c r="D87" s="534"/>
      <c r="E87" s="534"/>
      <c r="R87" s="281" t="s">
        <v>3451</v>
      </c>
      <c r="S87" s="281"/>
      <c r="T87" s="536" t="n">
        <f aca="false">VLOOKUP($T$91,($A$23:$U$82),20,0)</f>
        <v>39</v>
      </c>
      <c r="U87" s="281"/>
      <c r="V87" s="281"/>
    </row>
    <row r="88" customFormat="false" ht="12.75" hidden="true" customHeight="false" outlineLevel="0" collapsed="false">
      <c r="C88" s="534"/>
      <c r="D88" s="534"/>
      <c r="E88" s="534"/>
      <c r="R88" s="281" t="s">
        <v>3452</v>
      </c>
      <c r="S88" s="281"/>
      <c r="T88" s="536" t="n">
        <f aca="false">VLOOKUP($T$91,($A$23:$U$82),21,0)</f>
        <v>117</v>
      </c>
      <c r="U88" s="281"/>
      <c r="V88" s="281" t="n">
        <f aca="false">COUNTIF(V23:V82,T89)</f>
        <v>1</v>
      </c>
    </row>
    <row r="89" customFormat="false" ht="12.75" hidden="true" customHeight="false" outlineLevel="0" collapsed="false">
      <c r="C89" s="534"/>
      <c r="D89" s="534"/>
      <c r="E89" s="534"/>
      <c r="R89" s="281" t="s">
        <v>3453</v>
      </c>
      <c r="S89" s="281"/>
      <c r="T89" s="536" t="n">
        <f aca="false">MAX($V$23:$V$82)</f>
        <v>9</v>
      </c>
      <c r="U89" s="281"/>
      <c r="V89" s="0"/>
    </row>
    <row r="90" customFormat="false" ht="12.75" hidden="true" customHeight="false" outlineLevel="0" collapsed="false">
      <c r="C90" s="534"/>
      <c r="D90" s="534"/>
      <c r="E90" s="534"/>
      <c r="R90" s="281" t="s">
        <v>3454</v>
      </c>
      <c r="S90" s="281" t="s">
        <v>3384</v>
      </c>
      <c r="T90" s="537" t="n">
        <f aca="false">IF(OR(ISERROR(SUM($U$23:$U$82)/SUM($V$23:$V$82)),F7&lt;&gt;100),-1,(SUM($U$23:$U$82)-T88)/(SUM($V$23:$V$82)-T89))</f>
        <v>10.3833333333333</v>
      </c>
      <c r="U90" s="281" t="n">
        <f aca="false">IF(ISERROR(T90),0,1)</f>
        <v>1</v>
      </c>
      <c r="V90" s="0"/>
    </row>
    <row r="91" customFormat="false" ht="12.75" hidden="true" customHeight="false" outlineLevel="0" collapsed="false">
      <c r="C91" s="534"/>
      <c r="D91" s="534"/>
      <c r="E91" s="534"/>
      <c r="R91" s="485" t="s">
        <v>3455</v>
      </c>
      <c r="S91" s="485"/>
      <c r="T91" s="485" t="str">
        <f aca="false">INDEX('liste reference'!$A$6:$A$1174,$U$91)</f>
        <v>CINDAN</v>
      </c>
      <c r="U91" s="281" t="n">
        <f aca="false">IF(ISERROR(MATCH($T$93,'liste reference'!$A$6:$A$1174,0)),MATCH($T$93,'liste reference'!$B$6:$B$1174,0),(MATCH($T$93,'liste reference'!$A$6:$A$1174,0)))</f>
        <v>222</v>
      </c>
      <c r="V91" s="538"/>
    </row>
    <row r="92" customFormat="false" ht="12.75" hidden="true" customHeight="false" outlineLevel="0" collapsed="false">
      <c r="C92" s="534"/>
      <c r="D92" s="534"/>
      <c r="E92" s="534"/>
      <c r="R92" s="281" t="s">
        <v>3456</v>
      </c>
      <c r="S92" s="281"/>
      <c r="T92" s="281" t="n">
        <f aca="false">MATCH(T89,$V$23:$V$82,0)</f>
        <v>8</v>
      </c>
      <c r="U92" s="281"/>
    </row>
    <row r="93" customFormat="false" ht="12.75" hidden="true" customHeight="false" outlineLevel="0" collapsed="false">
      <c r="C93" s="534"/>
      <c r="D93" s="534"/>
      <c r="E93" s="534"/>
      <c r="R93" s="485" t="s">
        <v>3457</v>
      </c>
      <c r="S93" s="281"/>
      <c r="T93" s="485" t="str">
        <f aca="false">INDEX($A$23:$A$82,$T$92)</f>
        <v>CINDAN</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3458</v>
      </c>
      <c r="B2" s="286"/>
      <c r="C2" s="287" t="s">
        <v>3459</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3460</v>
      </c>
      <c r="B3" s="286"/>
      <c r="C3" s="285" t="s">
        <v>3461</v>
      </c>
      <c r="D3" s="296"/>
      <c r="E3" s="296"/>
      <c r="F3" s="297"/>
      <c r="G3" s="297"/>
      <c r="H3" s="296"/>
      <c r="I3" s="281"/>
      <c r="J3" s="288"/>
      <c r="K3" s="298"/>
      <c r="L3" s="299" t="s">
        <v>3462</v>
      </c>
      <c r="M3" s="300"/>
      <c r="N3" s="301" t="s">
        <v>3463</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3393</v>
      </c>
      <c r="B7" s="341"/>
      <c r="C7" s="342"/>
      <c r="D7" s="330"/>
      <c r="E7" s="330"/>
      <c r="F7" s="343" t="n">
        <f aca="false">B7+C7</f>
        <v>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3399</v>
      </c>
      <c r="B9" s="358"/>
      <c r="C9" s="359"/>
      <c r="D9" s="360"/>
      <c r="E9" s="360"/>
      <c r="F9" s="361" t="n">
        <f aca="false">($B9*$B$7+$C9*$C$7)/100</f>
        <v>0</v>
      </c>
      <c r="G9" s="362"/>
      <c r="H9" s="317"/>
      <c r="I9" s="281"/>
      <c r="J9" s="363"/>
      <c r="K9" s="364"/>
      <c r="L9" s="347"/>
      <c r="M9" s="365"/>
      <c r="N9" s="355" t="s">
        <v>3400</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3401</v>
      </c>
      <c r="B10" s="366"/>
      <c r="C10" s="367"/>
      <c r="D10" s="360"/>
      <c r="E10" s="360"/>
      <c r="F10" s="361"/>
      <c r="G10" s="362"/>
      <c r="H10" s="330"/>
      <c r="I10" s="281"/>
      <c r="J10" s="368"/>
      <c r="K10" s="369" t="s">
        <v>3403</v>
      </c>
      <c r="L10" s="370"/>
      <c r="M10" s="371"/>
      <c r="N10" s="355" t="s">
        <v>3404</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1</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0</v>
      </c>
      <c r="M13" s="381"/>
      <c r="N13" s="389" t="s">
        <v>3412</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0</v>
      </c>
      <c r="M14" s="381"/>
      <c r="N14" s="392" t="s">
        <v>3415</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0</v>
      </c>
      <c r="M15" s="381"/>
      <c r="N15" s="389" t="s">
        <v>3418</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str">
        <f aca="false">IF(ISERROR((O13-(COUNTIF(J23:J82,"nc")))/O13),"-",(O13-(COUNTIF(J23:J82,"nc")))/O13)</f>
        <v>-</v>
      </c>
      <c r="N17" s="389" t="s">
        <v>3423</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0</v>
      </c>
      <c r="C20" s="433" t="n">
        <f aca="false">SUM(C23:C82)</f>
        <v>0</v>
      </c>
      <c r="D20" s="434"/>
      <c r="E20" s="435" t="s">
        <v>3425</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0</v>
      </c>
      <c r="C21" s="444" t="n">
        <f aca="false">C20*C7/100</f>
        <v>0</v>
      </c>
      <c r="D21" s="445" t="s">
        <v>3428</v>
      </c>
      <c r="E21" s="446"/>
      <c r="F21" s="447" t="n">
        <f aca="false">B21+C21</f>
        <v>0</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3464</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3448</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3448</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3448</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3448</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3448</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3448</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3448</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3448</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3448</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3448</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3448</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3448</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3448</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3448</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3448</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3448</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3448</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3448</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3448</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3448</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3450</v>
      </c>
      <c r="S86" s="281"/>
      <c r="T86" s="536"/>
      <c r="U86" s="281"/>
      <c r="V86" s="281"/>
    </row>
    <row r="87" customFormat="false" ht="12.75" hidden="true" customHeight="false" outlineLevel="0" collapsed="false">
      <c r="C87" s="534"/>
      <c r="D87" s="534"/>
      <c r="E87" s="534"/>
      <c r="R87" s="281" t="s">
        <v>3451</v>
      </c>
      <c r="S87" s="281"/>
      <c r="T87" s="536" t="n">
        <f aca="false">VLOOKUP($T$91,($A$23:$U$82),20,0)</f>
        <v>0</v>
      </c>
      <c r="U87" s="281"/>
      <c r="V87" s="281"/>
    </row>
    <row r="88" customFormat="false" ht="12.75" hidden="true" customHeight="false" outlineLevel="0" collapsed="false">
      <c r="C88" s="534"/>
      <c r="D88" s="534"/>
      <c r="E88" s="534"/>
      <c r="R88" s="281" t="s">
        <v>3452</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3453</v>
      </c>
      <c r="S89" s="281"/>
      <c r="T89" s="536" t="n">
        <f aca="false">MAX($V$23:$V$82)</f>
        <v>0</v>
      </c>
      <c r="U89" s="281"/>
      <c r="V89" s="0"/>
    </row>
    <row r="90" customFormat="false" ht="12.75" hidden="true" customHeight="false" outlineLevel="0" collapsed="false">
      <c r="C90" s="534"/>
      <c r="D90" s="534"/>
      <c r="E90" s="534"/>
      <c r="R90" s="281" t="s">
        <v>3454</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3455</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3456</v>
      </c>
      <c r="S92" s="281"/>
      <c r="T92" s="281" t="n">
        <f aca="false">MATCH(T89,$V$23:$V$82,0)</f>
        <v>1</v>
      </c>
      <c r="U92" s="281"/>
    </row>
    <row r="93" customFormat="false" ht="12.75" hidden="true" customHeight="false" outlineLevel="0" collapsed="false">
      <c r="C93" s="534"/>
      <c r="D93" s="534"/>
      <c r="E93" s="534"/>
      <c r="R93" s="485" t="s">
        <v>3457</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3465</v>
      </c>
      <c r="B1" s="541"/>
      <c r="C1" s="541"/>
      <c r="D1" s="541"/>
      <c r="E1" s="542" t="s">
        <v>3466</v>
      </c>
      <c r="F1" s="543" t="s">
        <v>3467</v>
      </c>
      <c r="G1" s="544"/>
      <c r="H1" s="544"/>
      <c r="I1" s="545"/>
      <c r="J1" s="545"/>
      <c r="K1" s="545"/>
      <c r="L1" s="546"/>
    </row>
    <row r="2" customFormat="false" ht="15" hidden="false" customHeight="false" outlineLevel="0" collapsed="false">
      <c r="A2" s="547" t="s">
        <v>3468</v>
      </c>
      <c r="B2" s="548"/>
      <c r="C2" s="549"/>
      <c r="D2" s="549"/>
      <c r="E2" s="550"/>
      <c r="F2" s="543" t="s">
        <v>3469</v>
      </c>
      <c r="G2" s="544"/>
      <c r="H2" s="544"/>
      <c r="I2" s="545"/>
      <c r="J2" s="545"/>
      <c r="K2" s="545"/>
      <c r="L2" s="546"/>
    </row>
    <row r="3" customFormat="false" ht="15.75" hidden="false" customHeight="false" outlineLevel="0" collapsed="false">
      <c r="A3" s="547" t="s">
        <v>3470</v>
      </c>
      <c r="B3" s="548"/>
      <c r="C3" s="549"/>
      <c r="D3" s="551" t="s">
        <v>3471</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3472</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3473</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3474</v>
      </c>
      <c r="G17" s="570"/>
      <c r="H17" s="571" t="s">
        <v>3475</v>
      </c>
      <c r="I17" s="570"/>
    </row>
    <row r="18" customFormat="false" ht="15" hidden="false" customHeight="false" outlineLevel="0" collapsed="false">
      <c r="A18" s="563"/>
      <c r="B18" s="566" t="s">
        <v>2963</v>
      </c>
      <c r="C18" s="567"/>
      <c r="D18" s="568"/>
      <c r="F18" s="572" t="s">
        <v>3476</v>
      </c>
      <c r="G18" s="573"/>
      <c r="H18" s="572" t="s">
        <v>3476</v>
      </c>
      <c r="I18" s="574"/>
    </row>
    <row r="19" customFormat="false" ht="15" hidden="false" customHeight="false" outlineLevel="0" collapsed="false">
      <c r="A19" s="563"/>
      <c r="B19" s="566" t="s">
        <v>2965</v>
      </c>
      <c r="C19" s="567"/>
      <c r="D19" s="568"/>
      <c r="F19" s="575" t="s">
        <v>3477</v>
      </c>
      <c r="G19" s="8"/>
      <c r="H19" s="575" t="s">
        <v>3477</v>
      </c>
      <c r="I19" s="576"/>
    </row>
    <row r="20" customFormat="false" ht="15" hidden="false" customHeight="false" outlineLevel="0" collapsed="false">
      <c r="A20" s="563"/>
      <c r="B20" s="566" t="s">
        <v>2969</v>
      </c>
      <c r="C20" s="567"/>
      <c r="D20" s="568"/>
      <c r="F20" s="575" t="s">
        <v>3478</v>
      </c>
      <c r="G20" s="8"/>
      <c r="H20" s="575" t="s">
        <v>3478</v>
      </c>
      <c r="I20" s="576"/>
    </row>
    <row r="21" customFormat="false" ht="15" hidden="false" customHeight="false" outlineLevel="0" collapsed="false">
      <c r="A21" s="563"/>
      <c r="B21" s="566" t="s">
        <v>2318</v>
      </c>
      <c r="C21" s="567"/>
      <c r="D21" s="568"/>
      <c r="F21" s="575" t="s">
        <v>3389</v>
      </c>
      <c r="G21" s="8"/>
      <c r="H21" s="575" t="s">
        <v>3389</v>
      </c>
      <c r="I21" s="576"/>
    </row>
    <row r="22" customFormat="false" ht="15" hidden="false" customHeight="false" outlineLevel="0" collapsed="false">
      <c r="A22" s="563"/>
      <c r="B22" s="566" t="s">
        <v>2971</v>
      </c>
      <c r="C22" s="567"/>
      <c r="D22" s="568"/>
      <c r="F22" s="575" t="s">
        <v>3479</v>
      </c>
      <c r="G22" s="8"/>
      <c r="H22" s="575" t="s">
        <v>3479</v>
      </c>
      <c r="I22" s="576"/>
    </row>
    <row r="23" customFormat="false" ht="15" hidden="false" customHeight="false" outlineLevel="0" collapsed="false">
      <c r="A23" s="563"/>
      <c r="B23" s="566" t="s">
        <v>1933</v>
      </c>
      <c r="C23" s="567"/>
      <c r="D23" s="568"/>
      <c r="F23" s="575" t="s">
        <v>3480</v>
      </c>
      <c r="G23" s="8"/>
      <c r="H23" s="575" t="s">
        <v>3480</v>
      </c>
      <c r="I23" s="576"/>
    </row>
    <row r="24" customFormat="false" ht="15" hidden="false" customHeight="false" outlineLevel="0" collapsed="false">
      <c r="A24" s="563"/>
      <c r="B24" s="566" t="s">
        <v>2973</v>
      </c>
      <c r="C24" s="567"/>
      <c r="D24" s="568"/>
      <c r="F24" s="575" t="s">
        <v>3481</v>
      </c>
      <c r="G24" s="8"/>
      <c r="H24" s="575" t="s">
        <v>3481</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3482</v>
      </c>
      <c r="G26" s="8"/>
      <c r="H26" s="575" t="s">
        <v>3482</v>
      </c>
      <c r="I26" s="576"/>
    </row>
    <row r="27" customFormat="false" ht="15" hidden="false" customHeight="false" outlineLevel="0" collapsed="false">
      <c r="A27" s="563"/>
      <c r="B27" s="566" t="s">
        <v>1329</v>
      </c>
      <c r="C27" s="567"/>
      <c r="D27" s="568"/>
      <c r="F27" s="577" t="s">
        <v>3483</v>
      </c>
      <c r="G27" s="578"/>
      <c r="H27" s="577" t="s">
        <v>3483</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3484</v>
      </c>
    </row>
    <row r="31" customFormat="false" ht="15" hidden="false" customHeight="false" outlineLevel="0" collapsed="false">
      <c r="A31" s="563"/>
      <c r="B31" s="566" t="s">
        <v>2323</v>
      </c>
      <c r="C31" s="567"/>
      <c r="D31" s="568"/>
      <c r="F31" s="581" t="s">
        <v>3449</v>
      </c>
    </row>
    <row r="32" customFormat="false" ht="15" hidden="false" customHeight="false" outlineLevel="0" collapsed="false">
      <c r="A32" s="563"/>
      <c r="B32" s="566" t="s">
        <v>2325</v>
      </c>
      <c r="C32" s="567"/>
      <c r="D32" s="568"/>
      <c r="F32" s="582" t="s">
        <v>3448</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3485</v>
      </c>
    </row>
    <row r="37" customFormat="false" ht="15" hidden="false" customHeight="false" outlineLevel="0" collapsed="false">
      <c r="A37" s="563"/>
      <c r="B37" s="566" t="s">
        <v>2979</v>
      </c>
      <c r="C37" s="567"/>
      <c r="D37" s="568"/>
      <c r="F37" s="581" t="s">
        <v>3486</v>
      </c>
    </row>
    <row r="38" customFormat="false" ht="15" hidden="false" customHeight="false" outlineLevel="0" collapsed="false">
      <c r="A38" s="563"/>
      <c r="B38" s="566" t="s">
        <v>2981</v>
      </c>
      <c r="C38" s="567"/>
      <c r="D38" s="568"/>
      <c r="F38" s="583" t="s">
        <v>3487</v>
      </c>
    </row>
    <row r="39" customFormat="false" ht="15" hidden="false" customHeight="false" outlineLevel="0" collapsed="false">
      <c r="A39" s="563"/>
      <c r="B39" s="566" t="s">
        <v>2983</v>
      </c>
      <c r="C39" s="567"/>
      <c r="D39" s="568"/>
      <c r="F39" s="583" t="s">
        <v>3402</v>
      </c>
    </row>
    <row r="40" customFormat="false" ht="15" hidden="false" customHeight="false" outlineLevel="0" collapsed="false">
      <c r="A40" s="563"/>
      <c r="B40" s="566" t="s">
        <v>624</v>
      </c>
      <c r="C40" s="567"/>
      <c r="D40" s="568"/>
      <c r="F40" s="583" t="s">
        <v>3488</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3489</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3490</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3491</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3492</v>
      </c>
    </row>
    <row r="1188" customFormat="false" ht="15" hidden="false" customHeight="false" outlineLevel="0" collapsed="false">
      <c r="A1188" s="563"/>
      <c r="B1188" s="566" t="s">
        <v>3493</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3494</v>
      </c>
    </row>
    <row r="1229" customFormat="false" ht="15" hidden="false" customHeight="false" outlineLevel="0" collapsed="false">
      <c r="A1229" s="563"/>
      <c r="B1229" s="566" t="s">
        <v>3495</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amar</cp:lastModifiedBy>
  <cp:lastPrinted>2015-05-20T11:23:22Z</cp:lastPrinted>
  <dcterms:modified xsi:type="dcterms:W3CDTF">2018-04-12T16:32:16Z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