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rc-Aix" sheetId="1" state="visible" r:id="rId3"/>
  </sheets>
  <externalReferences>
    <externalReference r:id="rId4"/>
  </externalReferences>
  <definedNames>
    <definedName function="false" hidden="false" localSheetId="0" name="_xlnm.Print_Area" vbProcedure="false">'Arc-Aix'!$A$1:$O$82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'Arc-Aix'!$A$23:$J$84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<sst xmlns="http://schemas.openxmlformats.org/spreadsheetml/2006/main" count="104" uniqueCount="100">
  <si>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</si>
  <si>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</si>
  <si>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</si>
  <si>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</si>
  <si>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</si>
  <si>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Arc</t>
  </si>
  <si>
    <t xml:space="preserve">Aix en Provence</t>
  </si>
  <si>
    <t xml:space="preserve">06195000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</si>
  <si>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</si>
  <si>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</si>
  <si>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</si>
  <si>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</si>
  <si>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</si>
  <si>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</si>
  <si>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</si>
  <si>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DIA.SPX</t>
  </si>
  <si>
    <t xml:space="preserve">Type de faciès</t>
  </si>
  <si>
    <t xml:space="preserve">radier</t>
  </si>
  <si>
    <t xml:space="preserve">mouille</t>
  </si>
  <si>
    <t xml:space="preserve">niv. trophique:</t>
  </si>
  <si>
    <t xml:space="preserve">fort</t>
  </si>
  <si>
    <t xml:space="preserve">(très élevé)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</si>
  <si>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</si>
  <si>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</si>
  <si>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</si>
  <si>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</si>
  <si>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</si>
  <si>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</si>
  <si>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</si>
  <si>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</si>
  <si>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</si>
  <si>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</si>
  <si>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</si>
  <si>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</si>
  <si>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</si>
  <si>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</si>
  <si>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</si>
  <si>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</si>
  <si>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</si>
  <si>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</si>
  <si>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</si>
  <si>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</si>
  <si>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</si>
  <si>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</si>
  <si>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</si>
  <si>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</si>
  <si>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</si>
  <si>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</si>
  <si>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</si>
  <si>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</si>
  <si>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</si>
  <si>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</si>
  <si>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</si>
  <si>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</si>
  <si>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</si>
  <si>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</si>
  <si>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</si>
  <si>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</si>
  <si>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</si>
  <si>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</si>
  <si>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</si>
  <si>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</si>
  <si>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</si>
  <si>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</si>
  <si>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</si>
  <si>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</si>
  <si>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</si>
  <si>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</si>
  <si>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</si>
  <si>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</si>
  <si>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</si>
  <si>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</si>
  <si>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</si>
  <si>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</si>
  <si>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SPI.SPX</t>
  </si>
  <si>
    <t xml:space="preserve">MEL.SPX</t>
  </si>
  <si>
    <t xml:space="preserve">CLA.SPX</t>
  </si>
  <si>
    <t xml:space="preserve">MIC.SPX</t>
  </si>
  <si>
    <t xml:space="preserve">OED.SPX</t>
  </si>
  <si>
    <t xml:space="preserve">POT.PEC</t>
  </si>
  <si>
    <t xml:space="preserve">ALI.PLA</t>
  </si>
  <si>
    <t xml:space="preserve">LYT.SAL</t>
  </si>
  <si>
    <t xml:space="preserve">NAS.OFF</t>
  </si>
  <si>
    <t xml:space="preserve">RAN.TRI</t>
  </si>
  <si>
    <t xml:space="preserve">POT.NOD</t>
  </si>
  <si>
    <t xml:space="preserve">SPA.EML</t>
  </si>
  <si>
    <t xml:space="preserve">VER.ANA</t>
  </si>
  <si>
    <t xml:space="preserve">PHA.ARU</t>
  </si>
  <si>
    <t xml:space="preserve">ARU.DON</t>
  </si>
  <si>
    <t xml:space="preserve">API.REP</t>
  </si>
  <si>
    <t xml:space="preserve">SCI.SPX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</si>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</sst>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7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7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7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99360</xdr:rowOff>
    </xdr:to>
    <xdr:grpSp>
      <xdr:nvGrpSpPr>
        <xdr:cNvPr id="1" name="Group 7"/>
        <xdr:cNvGrpSpPr/>
      </xdr:nvGrpSpPr>
      <xdr:grpSpPr>
        <a:xfrm>
          <a:off x="8025480" y="9360"/>
          <a:ext cx="941760" cy="451800"/>
          <a:chOff x="8025480" y="9360"/>
          <a:chExt cx="941760" cy="45180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3-IBMR-RCS-pertinence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Buech-Serres"/><sheetName val="Buech-Ribiers"/><sheetName val="Coulon-Oppede"/><sheetName val="Sorgue-Isle-Sorgue"/><sheetName val="Meyne-Orange"/><sheetName val="Nartuby-Trans-Prov"/><sheetName val="Gapeau-Hyeres"/><sheetName val="Jabron-Comps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40015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8.26086956521739</v>
      </c>
      <c r="M5" s="52"/>
      <c r="N5" s="53" t="s">
        <v>15</v>
      </c>
      <c r="O5" s="54" t="n">
        <v>7.90476190476191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 t="s">
        <v>18</v>
      </c>
      <c r="D6" s="45"/>
      <c r="E6" s="45"/>
      <c r="F6" s="46"/>
      <c r="G6" s="47"/>
      <c r="H6" s="45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22</v>
      </c>
      <c r="B7" s="65" t="n">
        <v>90</v>
      </c>
      <c r="C7" s="66" t="n">
        <v>10</v>
      </c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23</v>
      </c>
      <c r="O7" s="76" t="s">
        <v>24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25</v>
      </c>
      <c r="B8" s="77"/>
      <c r="C8" s="77"/>
      <c r="D8" s="67"/>
      <c r="E8" s="67"/>
      <c r="F8" s="78" t="s">
        <v>26</v>
      </c>
      <c r="G8" s="79"/>
      <c r="H8" s="80"/>
      <c r="I8" s="70"/>
      <c r="J8" s="71"/>
      <c r="K8" s="72"/>
      <c r="L8" s="73"/>
      <c r="M8" s="81" t="s">
        <v>27</v>
      </c>
      <c r="N8" s="82" t="n">
        <f aca="false">AVERAGE(I23:I82)</f>
        <v>8.57142857142857</v>
      </c>
      <c r="O8" s="83" t="n">
        <f aca="false">AVERAGE(J23:J82)</f>
        <v>1.64285714285714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28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29</v>
      </c>
      <c r="N9" s="82" t="n">
        <f aca="false">STDEV(I23:I82)</f>
        <v>3.13084617990054</v>
      </c>
      <c r="O9" s="83" t="n">
        <f aca="false">STDEV(J23:J82)</f>
        <v>0.633323693776651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30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2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33</v>
      </c>
      <c r="B11" s="108" t="n">
        <v>0</v>
      </c>
      <c r="C11" s="109" t="n">
        <v>0</v>
      </c>
      <c r="D11" s="110"/>
      <c r="E11" s="110"/>
      <c r="F11" s="111" t="n">
        <f aca="false">($B11*$B$7+$C11*$C$7)/100</f>
        <v>0</v>
      </c>
      <c r="G11" s="112"/>
      <c r="H11" s="67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12</v>
      </c>
      <c r="O11" s="106" t="n">
        <f aca="false">MAX(J23:J82)</f>
        <v>3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36</v>
      </c>
      <c r="B12" s="117" t="n">
        <v>0.1</v>
      </c>
      <c r="C12" s="118" t="n">
        <v>0.03</v>
      </c>
      <c r="D12" s="110"/>
      <c r="E12" s="110"/>
      <c r="F12" s="111" t="n">
        <f aca="false">($B12*$B$7+$C12*$C$7)/100</f>
        <v>0.093</v>
      </c>
      <c r="G12" s="119"/>
      <c r="H12" s="67"/>
      <c r="I12" s="120" t="s">
        <v>37</v>
      </c>
      <c r="J12" s="120"/>
      <c r="K12" s="114" t="n">
        <f aca="false">COUNTIF($G$23:$G$82,"=ALG")</f>
        <v>6</v>
      </c>
      <c r="L12" s="121"/>
      <c r="M12" s="122"/>
      <c r="N12" s="123" t="s">
        <v>31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38</v>
      </c>
      <c r="B13" s="117" t="n">
        <v>0</v>
      </c>
      <c r="C13" s="118" t="n">
        <v>0</v>
      </c>
      <c r="D13" s="110"/>
      <c r="E13" s="110"/>
      <c r="F13" s="111" t="n">
        <f aca="false">($B13*$B$7+$C13*$C$7)/100</f>
        <v>0</v>
      </c>
      <c r="G13" s="119"/>
      <c r="H13" s="67"/>
      <c r="I13" s="120" t="s">
        <v>39</v>
      </c>
      <c r="J13" s="120"/>
      <c r="K13" s="114" t="n">
        <f aca="false">COUNTIF($G$23:$G$82,"=BRm")+COUNTIF($G$23:$G$82,"=BRh")</f>
        <v>0</v>
      </c>
      <c r="L13" s="115"/>
      <c r="M13" s="125" t="s">
        <v>40</v>
      </c>
      <c r="N13" s="126" t="n">
        <f aca="false">COUNTIF(F23:F82,"&gt;0")</f>
        <v>18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41</v>
      </c>
      <c r="B14" s="117" t="n">
        <v>0</v>
      </c>
      <c r="C14" s="118" t="n">
        <v>0</v>
      </c>
      <c r="D14" s="110"/>
      <c r="E14" s="110"/>
      <c r="F14" s="111" t="n">
        <f aca="false">($B14*$B$7+$C14*$C$7)/100</f>
        <v>0</v>
      </c>
      <c r="G14" s="119"/>
      <c r="H14" s="67"/>
      <c r="I14" s="120" t="s">
        <v>42</v>
      </c>
      <c r="J14" s="120"/>
      <c r="K14" s="114" t="n">
        <f aca="false">COUNTIF($G$23:$G$82,"=PTE")</f>
        <v>0</v>
      </c>
      <c r="L14" s="115"/>
      <c r="M14" s="128" t="s">
        <v>43</v>
      </c>
      <c r="N14" s="129" t="n">
        <f aca="false">COUNTIF($I$23:$I$82,"&gt;-1")</f>
        <v>14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44</v>
      </c>
      <c r="B15" s="132" t="n">
        <v>0.3</v>
      </c>
      <c r="C15" s="133" t="n">
        <v>0</v>
      </c>
      <c r="D15" s="110"/>
      <c r="E15" s="110"/>
      <c r="F15" s="111" t="n">
        <f aca="false">($B15*$B$7+$C15*$C$7)/100</f>
        <v>0.27</v>
      </c>
      <c r="G15" s="119"/>
      <c r="H15" s="67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12</v>
      </c>
      <c r="L15" s="115"/>
      <c r="M15" s="134" t="s">
        <v>46</v>
      </c>
      <c r="N15" s="135" t="n">
        <f aca="false">COUNTIF(J23:J82,"=1")</f>
        <v>6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47</v>
      </c>
      <c r="B16" s="108" t="n">
        <v>0</v>
      </c>
      <c r="C16" s="109" t="n">
        <v>0</v>
      </c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48</v>
      </c>
      <c r="N16" s="135" t="n">
        <f aca="false">COUNTIF(J23:J82,"=2")</f>
        <v>7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49</v>
      </c>
      <c r="B17" s="117" t="n">
        <v>0.24</v>
      </c>
      <c r="C17" s="118" t="n">
        <v>0.03</v>
      </c>
      <c r="D17" s="110"/>
      <c r="E17" s="110"/>
      <c r="F17" s="140"/>
      <c r="G17" s="111" t="n">
        <f aca="false">($B17*$B$7+$C17*$C$7)/100</f>
        <v>0.219</v>
      </c>
      <c r="H17" s="67"/>
      <c r="I17" s="120"/>
      <c r="J17" s="120"/>
      <c r="K17" s="139"/>
      <c r="L17" s="115"/>
      <c r="M17" s="134" t="s">
        <v>50</v>
      </c>
      <c r="N17" s="135" t="n">
        <f aca="false">COUNTIF(J23:J82,"=3")</f>
        <v>1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51</v>
      </c>
      <c r="B18" s="142" t="n">
        <v>0.16</v>
      </c>
      <c r="C18" s="143" t="n">
        <v>0</v>
      </c>
      <c r="D18" s="110"/>
      <c r="E18" s="144" t="s">
        <v>52</v>
      </c>
      <c r="F18" s="140"/>
      <c r="G18" s="111" t="n">
        <f aca="false">($B18*$B$7+$C18*$C$7)/100</f>
        <v>0.144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0.363</v>
      </c>
      <c r="G19" s="152" t="n">
        <f aca="false">SUM(G16:G18)</f>
        <v>0.363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53</v>
      </c>
      <c r="B20" s="160" t="n">
        <f aca="false">SUM(B23:B82)</f>
        <v>0.4</v>
      </c>
      <c r="C20" s="161" t="n">
        <f aca="false">SUM(C23:C82)</f>
        <v>0.03</v>
      </c>
      <c r="D20" s="162"/>
      <c r="E20" s="163" t="s">
        <v>52</v>
      </c>
      <c r="F20" s="164" t="n">
        <f aca="false">($B20*$B$7+$C20*$C$7)/100</f>
        <v>0.363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54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55</v>
      </c>
      <c r="B21" s="173" t="n">
        <f aca="false">B20*B7/100</f>
        <v>0.36</v>
      </c>
      <c r="C21" s="173" t="n">
        <f aca="false">C20*C7/100</f>
        <v>0.003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0.363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56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57</v>
      </c>
      <c r="B22" s="183" t="s">
        <v>58</v>
      </c>
      <c r="C22" s="184" t="s">
        <v>58</v>
      </c>
      <c r="D22" s="137"/>
      <c r="E22" s="137"/>
      <c r="F22" s="185" t="s">
        <v>59</v>
      </c>
      <c r="G22" s="186" t="s">
        <v>60</v>
      </c>
      <c r="H22" s="137"/>
      <c r="I22" s="187" t="s">
        <v>61</v>
      </c>
      <c r="J22" s="187" t="s">
        <v>62</v>
      </c>
      <c r="K22" s="188" t="s">
        <v>63</v>
      </c>
      <c r="L22" s="188"/>
      <c r="M22" s="188"/>
      <c r="N22" s="188"/>
      <c r="O22" s="188"/>
      <c r="P22" s="189" t="s">
        <v>64</v>
      </c>
      <c r="Q22" s="190" t="s">
        <v>65</v>
      </c>
      <c r="R22" s="191" t="s">
        <v>66</v>
      </c>
      <c r="S22" s="192" t="s">
        <v>67</v>
      </c>
      <c r="T22" s="193" t="s">
        <v>68</v>
      </c>
      <c r="U22" s="191" t="s">
        <v>69</v>
      </c>
      <c r="X22" s="9" t="s">
        <v>70</v>
      </c>
      <c r="Y22" s="9" t="s">
        <v>71</v>
      </c>
      <c r="Z22" s="194" t="s">
        <v>72</v>
      </c>
      <c r="AA22" s="194" t="s">
        <v>73</v>
      </c>
    </row>
    <row r="23" customFormat="false" ht="12.75" hidden="false" customHeight="false" outlineLevel="0" collapsed="false">
      <c r="A23" s="195" t="s">
        <v>15</v>
      </c>
      <c r="B23" s="196" t="n">
        <v>0.01</v>
      </c>
      <c r="C23" s="197" t="n">
        <v>0.01</v>
      </c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Diatoma sp.</v>
      </c>
      <c r="E23" s="198" t="e">
        <f aca="false">IF(D23="",0,VLOOKUP(D23,D$22:D22,1,0))</f>
        <v>#N/A</v>
      </c>
      <c r="F23" s="199" t="n">
        <f aca="false">($B23*$B$7+$C23*$C$7)/100</f>
        <v>0.01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12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2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Diatoma sp.</v>
      </c>
      <c r="L23" s="205"/>
      <c r="M23" s="205"/>
      <c r="N23" s="205"/>
      <c r="O23" s="206"/>
      <c r="P23" s="207" t="n">
        <f aca="false">IF(ISTEXT(H23),"",(B23*$B$7/100)+(C23*$C$7/100))</f>
        <v>0.01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12</v>
      </c>
      <c r="S23" s="208" t="n">
        <f aca="false">IF(ISERROR(Q23*I23*J23),0,Q23*I23*J23)</f>
        <v>24</v>
      </c>
      <c r="T23" s="208" t="n">
        <f aca="false">IF(ISERROR(Q23*J23),0,Q23*J23)</f>
        <v>2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DIA.SPX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27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 t="n">
        <v>0.03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Spirogyra sp.       </v>
      </c>
      <c r="E24" s="217" t="e">
        <f aca="false">IF(D24="",0,VLOOKUP(D24,D$22:D23,1,0))</f>
        <v>#N/A</v>
      </c>
      <c r="F24" s="218" t="n">
        <f aca="false">($B24*$B$7+$C24*$C$7)/100</f>
        <v>0.027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10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1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Spirogyra sp.       </v>
      </c>
      <c r="L24" s="222"/>
      <c r="M24" s="222"/>
      <c r="N24" s="222"/>
      <c r="O24" s="206"/>
      <c r="P24" s="207" t="n">
        <f aca="false">IF(ISTEXT(H24),"",(B24*$B$7/100)+(C24*$C$7/100))</f>
        <v>0.027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10</v>
      </c>
      <c r="S24" s="208" t="n">
        <f aca="false">IF(ISERROR(Q24*I24*J24),0,Q24*I24*J24)</f>
        <v>10</v>
      </c>
      <c r="T24" s="223" t="n">
        <f aca="false">IF(ISERROR(Q24*J24),0,Q24*J24)</f>
        <v>1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SPI.SPX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70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75</v>
      </c>
      <c r="B25" s="215" t="n">
        <v>0.01</v>
      </c>
      <c r="C25" s="216" t="n">
        <v>0.01</v>
      </c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Melosira sp.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10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1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Melosira sp.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10</v>
      </c>
      <c r="S25" s="208" t="n">
        <f aca="false">IF(ISERROR(Q25*I25*J25),0,Q25*I25*J25)</f>
        <v>10</v>
      </c>
      <c r="T25" s="223" t="n">
        <f aca="false">IF(ISERROR(Q25*J25),0,Q25*J25)</f>
        <v>1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MEL.SPX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37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76</v>
      </c>
      <c r="B26" s="215" t="n">
        <v>0.03</v>
      </c>
      <c r="C26" s="216" t="n">
        <v>0.01</v>
      </c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Cladophora sp. </v>
      </c>
      <c r="E26" s="217" t="e">
        <f aca="false">IF(D26="",0,VLOOKUP(D26,D$22:D25,1,0))</f>
        <v>#N/A</v>
      </c>
      <c r="F26" s="218" t="n">
        <f aca="false">($B26*$B$7+$C26*$C$7)/100</f>
        <v>0.028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ALG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2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6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Cladophora sp. </v>
      </c>
      <c r="L26" s="222"/>
      <c r="M26" s="222"/>
      <c r="N26" s="222"/>
      <c r="O26" s="206"/>
      <c r="P26" s="207" t="n">
        <f aca="false">IF(ISTEXT(H26),"",(B26*$B$7/100)+(C26*$C$7/100))</f>
        <v>0.028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6</v>
      </c>
      <c r="S26" s="208" t="n">
        <f aca="false">IF(ISERROR(Q26*I26*J26),0,Q26*I26*J26)</f>
        <v>6</v>
      </c>
      <c r="T26" s="223" t="n">
        <f aca="false">IF(ISERROR(Q26*J26),0,Q26*J26)</f>
        <v>1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CLA.SPX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24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77</v>
      </c>
      <c r="B27" s="215" t="n">
        <v>0.01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Microspora sp.</v>
      </c>
      <c r="E27" s="217" t="e">
        <f aca="false">IF(D27="",0,VLOOKUP(D27,D$22:D26,1,0))</f>
        <v>#N/A</v>
      </c>
      <c r="F27" s="218" t="n">
        <f aca="false">($B27*$B$7+$C27*$C$7)/100</f>
        <v>0.009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ALG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2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12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2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Microspora sp.</v>
      </c>
      <c r="L27" s="222"/>
      <c r="M27" s="222"/>
      <c r="N27" s="222"/>
      <c r="O27" s="206"/>
      <c r="P27" s="207" t="n">
        <f aca="false">IF(ISTEXT(H27),"",(B27*$B$7/100)+(C27*$C$7/100))</f>
        <v>0.009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12</v>
      </c>
      <c r="S27" s="208" t="n">
        <f aca="false">IF(ISERROR(Q27*I27*J27),0,Q27*I27*J27)</f>
        <v>24</v>
      </c>
      <c r="T27" s="223" t="n">
        <f aca="false">IF(ISERROR(Q27*J27),0,Q27*J27)</f>
        <v>2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MIC.SPX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42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78</v>
      </c>
      <c r="B28" s="215" t="n">
        <v>0.01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Oedogonium sp.</v>
      </c>
      <c r="E28" s="217" t="e">
        <f aca="false">IF(D28="",0,VLOOKUP(D28,D$22:D27,1,0))</f>
        <v>#N/A</v>
      </c>
      <c r="F28" s="218" t="n">
        <f aca="false">($B28*$B$7+$C28*$C$7)/100</f>
        <v>0.009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ALG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2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6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2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Oedogonium sp.</v>
      </c>
      <c r="L28" s="222"/>
      <c r="M28" s="222"/>
      <c r="N28" s="222"/>
      <c r="O28" s="206"/>
      <c r="P28" s="207" t="n">
        <f aca="false">IF(ISTEXT(H28),"",(B28*$B$7/100)+(C28*$C$7/100))</f>
        <v>0.009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6</v>
      </c>
      <c r="S28" s="208" t="n">
        <f aca="false">IF(ISERROR(Q28*I28*J28),0,Q28*I28*J28)</f>
        <v>12</v>
      </c>
      <c r="T28" s="223" t="n">
        <f aca="false">IF(ISERROR(Q28*J28),0,Q28*J28)</f>
        <v>2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OED.SPX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56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79</v>
      </c>
      <c r="B29" s="215" t="n">
        <v>0.01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Potamogeton pectinatus    </v>
      </c>
      <c r="E29" s="217" t="e">
        <f aca="false">IF(D29="",0,VLOOKUP(D29,D$22:D28,1,0))</f>
        <v>#N/A</v>
      </c>
      <c r="F29" s="218" t="n">
        <f aca="false">($B29*$B$7+$C29*$C$7)/100</f>
        <v>0.009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PHy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7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2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2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Potamogeton pectinatus    </v>
      </c>
      <c r="L29" s="222"/>
      <c r="M29" s="222"/>
      <c r="N29" s="222"/>
      <c r="O29" s="206"/>
      <c r="P29" s="207" t="n">
        <f aca="false">IF(ISTEXT(H29),"",(B29*$B$7/100)+(C29*$C$7/100))</f>
        <v>0.009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2</v>
      </c>
      <c r="S29" s="208" t="n">
        <f aca="false">IF(ISERROR(Q29*I29*J29),0,Q29*I29*J29)</f>
        <v>4</v>
      </c>
      <c r="T29" s="223" t="n">
        <f aca="false">IF(ISERROR(Q29*J29),0,Q29*J29)</f>
        <v>2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POT.PEC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425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80</v>
      </c>
      <c r="B30" s="215" t="n">
        <v>0.01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Alisma plantago-aquatica</v>
      </c>
      <c r="E30" s="217" t="e">
        <f aca="false">IF(D30="",0,VLOOKUP(D30,D$22:D29,1,0))</f>
        <v>#N/A</v>
      </c>
      <c r="F30" s="218" t="n">
        <f aca="false">($B30*$B$7+$C30*$C$7)/100</f>
        <v>0.009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PHe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8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8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2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Alisma plantago-aquatica</v>
      </c>
      <c r="L30" s="222"/>
      <c r="M30" s="222"/>
      <c r="N30" s="222"/>
      <c r="O30" s="206"/>
      <c r="P30" s="207" t="n">
        <f aca="false">IF(ISTEXT(H30),"",(B30*$B$7/100)+(C30*$C$7/100))</f>
        <v>0.009</v>
      </c>
      <c r="Q30" s="208" t="n">
        <f aca="false">IF(OR(ISTEXT(H30),P30=0),"",IF(P30&lt;0.1,1,IF(P30&lt;1,2,IF(P30&lt;10,3,IF(P30&lt;50,4,IF(P30&gt;=50,5,""))))))</f>
        <v>1</v>
      </c>
      <c r="R30" s="208" t="n">
        <f aca="false">IF(ISERROR(Q30*I30),0,Q30*I30)</f>
        <v>8</v>
      </c>
      <c r="S30" s="208" t="n">
        <f aca="false">IF(ISERROR(Q30*I30*J30),0,Q30*I30*J30)</f>
        <v>16</v>
      </c>
      <c r="T30" s="223" t="n">
        <f aca="false">IF(ISERROR(Q30*J30),0,Q30*J30)</f>
        <v>2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ALI.PLA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523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81</v>
      </c>
      <c r="B31" s="215" t="n">
        <v>0.01</v>
      </c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Lythrum salicaria</v>
      </c>
      <c r="E31" s="217" t="e">
        <f aca="false">IF(D31="",0,VLOOKUP(D31,D$21:D30,1,0))</f>
        <v>#N/A</v>
      </c>
      <c r="F31" s="218" t="n">
        <f aca="false">($B31*$B$7+$C31*$C$7)/100</f>
        <v>0.009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PHe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8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Lythrum salicaria</v>
      </c>
      <c r="L31" s="222"/>
      <c r="M31" s="222"/>
      <c r="N31" s="222"/>
      <c r="O31" s="206"/>
      <c r="P31" s="207" t="n">
        <f aca="false">IF(ISTEXT(H31),"",(B31*$B$7/100)+(C31*$C$7/100))</f>
        <v>0.009</v>
      </c>
      <c r="Q31" s="208" t="n">
        <f aca="false">IF(OR(ISTEXT(H31),P31=0),"",IF(P31&lt;0.1,1,IF(P31&lt;1,2,IF(P31&lt;10,3,IF(P31&lt;50,4,IF(P31&gt;=50,5,""))))))</f>
        <v>1</v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LYT.SAL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611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82</v>
      </c>
      <c r="B32" s="215" t="n">
        <v>0.01</v>
      </c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Nasturtium officinale (Rorippa nasturtium-aquaticum)</v>
      </c>
      <c r="E32" s="217" t="e">
        <f aca="false">IF(D32="",0,VLOOKUP(D32,D$22:D31,1,0))</f>
        <v>#N/A</v>
      </c>
      <c r="F32" s="218" t="n">
        <f aca="false">($B32*$B$7+$C32*$C$7)/100</f>
        <v>0.009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PHe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8</v>
      </c>
      <c r="I32" s="220" t="n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>11</v>
      </c>
      <c r="J32" s="203" t="n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>1</v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Nasturtium officinale (Rorippa nasturtium-aquaticum)</v>
      </c>
      <c r="L32" s="222"/>
      <c r="M32" s="222"/>
      <c r="N32" s="222"/>
      <c r="O32" s="206"/>
      <c r="P32" s="207" t="n">
        <f aca="false">IF(ISTEXT(H32),"",(B32*$B$7/100)+(C32*$C$7/100))</f>
        <v>0.009</v>
      </c>
      <c r="Q32" s="208" t="n">
        <f aca="false">IF(OR(ISTEXT(H32),P32=0),"",IF(P32&lt;0.1,1,IF(P32&lt;1,2,IF(P32&lt;10,3,IF(P32&lt;50,4,IF(P32&gt;=50,5,""))))))</f>
        <v>1</v>
      </c>
      <c r="R32" s="208" t="n">
        <f aca="false">IF(ISERROR(Q32*I32),0,Q32*I32)</f>
        <v>11</v>
      </c>
      <c r="S32" s="208" t="n">
        <f aca="false">IF(ISERROR(Q32*I32*J32),0,Q32*I32*J32)</f>
        <v>11</v>
      </c>
      <c r="T32" s="223" t="n">
        <f aca="false">IF(ISERROR(Q32*J32),0,Q32*J32)</f>
        <v>1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NAS.OFF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634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 t="s">
        <v>83</v>
      </c>
      <c r="B33" s="215" t="n">
        <v>0.01</v>
      </c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>Ranunculus trichophyllus</v>
      </c>
      <c r="E33" s="217" t="e">
        <f aca="false">IF(D33="",0,VLOOKUP(D33,D$22:D32,1,0))</f>
        <v>#N/A</v>
      </c>
      <c r="F33" s="218" t="n">
        <f aca="false">($B33*$B$7+$C33*$C$7)/100</f>
        <v>0.009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>PHy</v>
      </c>
      <c r="H33" s="201" t="n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7</v>
      </c>
      <c r="I33" s="220" t="n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>11</v>
      </c>
      <c r="J33" s="203" t="n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>2</v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>Ranunculus trichophyllus</v>
      </c>
      <c r="L33" s="225"/>
      <c r="M33" s="225"/>
      <c r="N33" s="225"/>
      <c r="O33" s="226"/>
      <c r="P33" s="207" t="n">
        <f aca="false">IF(ISTEXT(H33),"",(B33*$B$7/100)+(C33*$C$7/100))</f>
        <v>0.009</v>
      </c>
      <c r="Q33" s="208" t="n">
        <f aca="false">IF(OR(ISTEXT(H33),P33=0),"",IF(P33&lt;0.1,1,IF(P33&lt;1,2,IF(P33&lt;10,3,IF(P33&lt;50,4,IF(P33&gt;=50,5,""))))))</f>
        <v>1</v>
      </c>
      <c r="R33" s="208" t="n">
        <f aca="false">IF(ISERROR(Q33*I33),0,Q33*I33)</f>
        <v>11</v>
      </c>
      <c r="S33" s="208" t="n">
        <f aca="false">IF(ISERROR(Q33*I33*J33),0,Q33*I33*J33)</f>
        <v>22</v>
      </c>
      <c r="T33" s="223" t="n">
        <f aca="false">IF(ISERROR(Q33*J33),0,Q33*J33)</f>
        <v>2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>RAN.TRI</v>
      </c>
      <c r="Y33" s="9" t="n">
        <f aca="false">IF(ISERROR(MATCH(A33,'[1]liste reference'!$A$7:$A$906,0)),IF(ISERROR(MATCH(A33,'[1]liste reference'!$B$7:$B$906,0)),"",(MATCH(A33,'[1]liste reference'!$B$7:$B$906,0))),(MATCH(A33,'[1]liste reference'!$A$7:$A$906,0)))</f>
        <v>472</v>
      </c>
      <c r="Z33" s="212"/>
      <c r="AA33" s="213"/>
      <c r="BB33" s="9" t="n">
        <f aca="false">IF(A33="","",1)</f>
        <v>1</v>
      </c>
    </row>
    <row r="34" customFormat="false" ht="12.75" hidden="false" customHeight="false" outlineLevel="0" collapsed="false">
      <c r="A34" s="214" t="s">
        <v>84</v>
      </c>
      <c r="B34" s="215" t="n">
        <v>0.1</v>
      </c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>Potamogeton nodosus (P. fluitans)</v>
      </c>
      <c r="E34" s="217" t="e">
        <f aca="false">IF(D34="",0,VLOOKUP(D34,D$22:D33,1,0))</f>
        <v>#N/A</v>
      </c>
      <c r="F34" s="227" t="n">
        <f aca="false">($B34*$B$7+$C34*$C$7)/100</f>
        <v>0.09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>PHy</v>
      </c>
      <c r="H34" s="201" t="n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7</v>
      </c>
      <c r="I34" s="220" t="n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>4</v>
      </c>
      <c r="J34" s="203" t="n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>3</v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>Potamogeton nodosus (P. fluitans)</v>
      </c>
      <c r="L34" s="225"/>
      <c r="M34" s="225"/>
      <c r="N34" s="225"/>
      <c r="O34" s="226"/>
      <c r="P34" s="207" t="n">
        <f aca="false">IF(ISTEXT(H34),"",(B34*$B$7/100)+(C34*$C$7/100))</f>
        <v>0.09</v>
      </c>
      <c r="Q34" s="208" t="n">
        <f aca="false">IF(OR(ISTEXT(H34),P34=0),"",IF(P34&lt;0.1,1,IF(P34&lt;1,2,IF(P34&lt;10,3,IF(P34&lt;50,4,IF(P34&gt;=50,5,""))))))</f>
        <v>1</v>
      </c>
      <c r="R34" s="208" t="n">
        <f aca="false">IF(ISERROR(Q34*I34),0,Q34*I34)</f>
        <v>4</v>
      </c>
      <c r="S34" s="208" t="n">
        <f aca="false">IF(ISERROR(Q34*I34*J34),0,Q34*I34*J34)</f>
        <v>12</v>
      </c>
      <c r="T34" s="223" t="n">
        <f aca="false">IF(ISERROR(Q34*J34),0,Q34*J34)</f>
        <v>3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>POT.NOD</v>
      </c>
      <c r="Y34" s="9" t="n">
        <f aca="false">IF(ISERROR(MATCH(A34,'[1]liste reference'!$A$7:$A$906,0)),IF(ISERROR(MATCH(A34,'[1]liste reference'!$B$7:$B$906,0)),"",(MATCH(A34,'[1]liste reference'!$B$7:$B$906,0))),(MATCH(A34,'[1]liste reference'!$A$7:$A$906,0)))</f>
        <v>422</v>
      </c>
      <c r="Z34" s="212"/>
      <c r="AA34" s="213"/>
      <c r="BB34" s="9" t="n">
        <f aca="false">IF(A34="","",1)</f>
        <v>1</v>
      </c>
    </row>
    <row r="35" customFormat="false" ht="12.75" hidden="false" customHeight="false" outlineLevel="0" collapsed="false">
      <c r="A35" s="214" t="s">
        <v>85</v>
      </c>
      <c r="B35" s="215" t="n">
        <v>0.01</v>
      </c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>Sparganium emersum feuilles longues (&gt; 20 cm)</v>
      </c>
      <c r="E35" s="217" t="e">
        <f aca="false">IF(D35="",0,VLOOKUP(D35,D$22:D34,1,0))</f>
        <v>#N/A</v>
      </c>
      <c r="F35" s="227" t="n">
        <f aca="false">($B35*$B$7+$C35*$C$7)/100</f>
        <v>0.009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>PHy</v>
      </c>
      <c r="H35" s="201" t="n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7</v>
      </c>
      <c r="I35" s="220" t="n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>7</v>
      </c>
      <c r="J35" s="203" t="n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>1</v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>Sparganium emersum feuilles longues (&gt; 20 cm)</v>
      </c>
      <c r="L35" s="222"/>
      <c r="M35" s="222"/>
      <c r="N35" s="222"/>
      <c r="O35" s="206"/>
      <c r="P35" s="207" t="n">
        <f aca="false">IF(ISTEXT(H35),"",(B35*$B$7/100)+(C35*$C$7/100))</f>
        <v>0.009</v>
      </c>
      <c r="Q35" s="208" t="n">
        <f aca="false">IF(OR(ISTEXT(H35),P35=0),"",IF(P35&lt;0.1,1,IF(P35&lt;1,2,IF(P35&lt;10,3,IF(P35&lt;50,4,IF(P35&gt;=50,5,""))))))</f>
        <v>1</v>
      </c>
      <c r="R35" s="208" t="n">
        <f aca="false">IF(ISERROR(Q35*I35),0,Q35*I35)</f>
        <v>7</v>
      </c>
      <c r="S35" s="208" t="n">
        <f aca="false">IF(ISERROR(Q35*I35*J35),0,Q35*I35*J35)</f>
        <v>7</v>
      </c>
      <c r="T35" s="223" t="n">
        <f aca="false">IF(ISERROR(Q35*J35),0,Q35*J35)</f>
        <v>1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>SPA.EML</v>
      </c>
      <c r="Y35" s="9" t="n">
        <f aca="false">IF(ISERROR(MATCH(A35,'[1]liste reference'!$A$7:$A$906,0)),IF(ISERROR(MATCH(A35,'[1]liste reference'!$B$7:$B$906,0)),"",(MATCH(A35,'[1]liste reference'!$B$7:$B$906,0))),(MATCH(A35,'[1]liste reference'!$A$7:$A$906,0)))</f>
        <v>488</v>
      </c>
      <c r="Z35" s="212"/>
      <c r="AA35" s="213"/>
      <c r="BB35" s="9" t="n">
        <f aca="false">IF(A35="","",1)</f>
        <v>1</v>
      </c>
    </row>
    <row r="36" customFormat="false" ht="12.75" hidden="false" customHeight="false" outlineLevel="0" collapsed="false">
      <c r="A36" s="214" t="s">
        <v>86</v>
      </c>
      <c r="B36" s="215" t="n">
        <v>0.01</v>
      </c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>Veronica anagallis-aquatica</v>
      </c>
      <c r="E36" s="217" t="e">
        <f aca="false">IF(D36="",0,VLOOKUP(D36,D$22:D35,1,0))</f>
        <v>#N/A</v>
      </c>
      <c r="F36" s="227" t="n">
        <f aca="false">($B36*$B$7+$C36*$C$7)/100</f>
        <v>0.009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>PHe</v>
      </c>
      <c r="H36" s="201" t="n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8</v>
      </c>
      <c r="I36" s="220" t="n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>11</v>
      </c>
      <c r="J36" s="203" t="n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>2</v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>Veronica anagallis-aquatica</v>
      </c>
      <c r="L36" s="222"/>
      <c r="M36" s="222"/>
      <c r="N36" s="222"/>
      <c r="O36" s="206"/>
      <c r="P36" s="207" t="n">
        <f aca="false">IF(ISTEXT(H36),"",(B36*$B$7/100)+(C36*$C$7/100))</f>
        <v>0.009</v>
      </c>
      <c r="Q36" s="208" t="n">
        <f aca="false">IF(OR(ISTEXT(H36),P36=0),"",IF(P36&lt;0.1,1,IF(P36&lt;1,2,IF(P36&lt;10,3,IF(P36&lt;50,4,IF(P36&gt;=50,5,""))))))</f>
        <v>1</v>
      </c>
      <c r="R36" s="208" t="n">
        <f aca="false">IF(ISERROR(Q36*I36),0,Q36*I36)</f>
        <v>11</v>
      </c>
      <c r="S36" s="208" t="n">
        <f aca="false">IF(ISERROR(Q36*I36*J36),0,Q36*I36*J36)</f>
        <v>22</v>
      </c>
      <c r="T36" s="223" t="n">
        <f aca="false">IF(ISERROR(Q36*J36),0,Q36*J36)</f>
        <v>2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>VER.ANA</v>
      </c>
      <c r="Y36" s="9" t="n">
        <f aca="false">IF(ISERROR(MATCH(A36,'[1]liste reference'!$A$7:$A$906,0)),IF(ISERROR(MATCH(A36,'[1]liste reference'!$B$7:$B$906,0)),"",(MATCH(A36,'[1]liste reference'!$B$7:$B$906,0))),(MATCH(A36,'[1]liste reference'!$A$7:$A$906,0)))</f>
        <v>689</v>
      </c>
      <c r="Z36" s="212"/>
      <c r="AA36" s="213"/>
      <c r="BB36" s="9" t="n">
        <f aca="false">IF(A36="","",1)</f>
        <v>1</v>
      </c>
    </row>
    <row r="37" customFormat="false" ht="12.75" hidden="false" customHeight="false" outlineLevel="0" collapsed="false">
      <c r="A37" s="214" t="s">
        <v>87</v>
      </c>
      <c r="B37" s="215" t="n">
        <v>0.01</v>
      </c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>Phalaris arundinacea</v>
      </c>
      <c r="E37" s="217" t="e">
        <f aca="false">IF(D37="",0,VLOOKUP(D37,D$22:D36,1,0))</f>
        <v>#N/A</v>
      </c>
      <c r="F37" s="227" t="n">
        <f aca="false">($B37*$B$7+$C37*$C$7)/100</f>
        <v>0.009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>PHe</v>
      </c>
      <c r="H37" s="201" t="n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8</v>
      </c>
      <c r="I37" s="220" t="n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>10</v>
      </c>
      <c r="J37" s="203" t="n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>1</v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>Phalaris arundinacea</v>
      </c>
      <c r="L37" s="222"/>
      <c r="M37" s="222"/>
      <c r="N37" s="222"/>
      <c r="O37" s="206"/>
      <c r="P37" s="207" t="n">
        <f aca="false">IF(ISTEXT(H37),"",(B37*$B$7/100)+(C37*$C$7/100))</f>
        <v>0.009</v>
      </c>
      <c r="Q37" s="208" t="n">
        <f aca="false">IF(OR(ISTEXT(H37),P37=0),"",IF(P37&lt;0.1,1,IF(P37&lt;1,2,IF(P37&lt;10,3,IF(P37&lt;50,4,IF(P37&gt;=50,5,""))))))</f>
        <v>1</v>
      </c>
      <c r="R37" s="208" t="n">
        <f aca="false">IF(ISERROR(Q37*I37),0,Q37*I37)</f>
        <v>10</v>
      </c>
      <c r="S37" s="208" t="n">
        <f aca="false">IF(ISERROR(Q37*I37*J37),0,Q37*I37*J37)</f>
        <v>10</v>
      </c>
      <c r="T37" s="223" t="n">
        <f aca="false">IF(ISERROR(Q37*J37),0,Q37*J37)</f>
        <v>1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>PHA.ARU</v>
      </c>
      <c r="Y37" s="9" t="n">
        <f aca="false">IF(ISERROR(MATCH(A37,'[1]liste reference'!$A$7:$A$906,0)),IF(ISERROR(MATCH(A37,'[1]liste reference'!$B$7:$B$906,0)),"",(MATCH(A37,'[1]liste reference'!$B$7:$B$906,0))),(MATCH(A37,'[1]liste reference'!$A$7:$A$906,0)))</f>
        <v>640</v>
      </c>
      <c r="Z37" s="212"/>
      <c r="AA37" s="213"/>
      <c r="BB37" s="9" t="n">
        <f aca="false">IF(A37="","",1)</f>
        <v>1</v>
      </c>
    </row>
    <row r="38" customFormat="false" ht="12.75" hidden="false" customHeight="false" outlineLevel="0" collapsed="false">
      <c r="A38" s="214" t="s">
        <v>88</v>
      </c>
      <c r="B38" s="215" t="n">
        <v>0.01</v>
      </c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>Arundo donax        </v>
      </c>
      <c r="E38" s="217" t="e">
        <f aca="false">IF(D38="",0,VLOOKUP(D38,D$22:D37,1,0))</f>
        <v>#N/A</v>
      </c>
      <c r="F38" s="227" t="n">
        <f aca="false">($B38*$B$7+$C38*$C$7)/100</f>
        <v>0.009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>PHg</v>
      </c>
      <c r="H38" s="201" t="n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9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>Arundo donax        </v>
      </c>
      <c r="L38" s="222"/>
      <c r="M38" s="222"/>
      <c r="N38" s="222"/>
      <c r="O38" s="206"/>
      <c r="P38" s="207" t="n">
        <f aca="false">IF(ISTEXT(H38),"",(B38*$B$7/100)+(C38*$C$7/100))</f>
        <v>0.009</v>
      </c>
      <c r="Q38" s="208" t="n">
        <f aca="false">IF(OR(ISTEXT(H38),P38=0),"",IF(P38&lt;0.1,1,IF(P38&lt;1,2,IF(P38&lt;10,3,IF(P38&lt;50,4,IF(P38&gt;=50,5,""))))))</f>
        <v>1</v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>ARU.DON</v>
      </c>
      <c r="Y38" s="9" t="n">
        <f aca="false">IF(ISERROR(MATCH(A38,'[1]liste reference'!$A$7:$A$906,0)),IF(ISERROR(MATCH(A38,'[1]liste reference'!$B$7:$B$906,0)),"",(MATCH(A38,'[1]liste reference'!$B$7:$B$906,0))),(MATCH(A38,'[1]liste reference'!$A$7:$A$906,0)))</f>
        <v>705</v>
      </c>
      <c r="Z38" s="212"/>
      <c r="AA38" s="213"/>
      <c r="BB38" s="9" t="n">
        <f aca="false">IF(A38="","",1)</f>
        <v>1</v>
      </c>
    </row>
    <row r="39" customFormat="false" ht="12.75" hidden="false" customHeight="false" outlineLevel="0" collapsed="false">
      <c r="A39" s="214" t="s">
        <v>89</v>
      </c>
      <c r="B39" s="215" t="n">
        <v>0.1</v>
      </c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>Apium repens</v>
      </c>
      <c r="E39" s="217" t="e">
        <f aca="false">IF(D39="",0,VLOOKUP(D39,D$22:D38,1,0))</f>
        <v>#N/A</v>
      </c>
      <c r="F39" s="227" t="n">
        <f aca="false">($B39*$B$7+$C39*$C$7)/100</f>
        <v>0.09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>PHe</v>
      </c>
      <c r="H39" s="201" t="n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8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>Apium repens</v>
      </c>
      <c r="L39" s="222"/>
      <c r="M39" s="222"/>
      <c r="N39" s="222"/>
      <c r="O39" s="206"/>
      <c r="P39" s="207" t="n">
        <f aca="false">IF(ISTEXT(H39),"",(B39*$B$7/100)+(C39*$C$7/100))</f>
        <v>0.09</v>
      </c>
      <c r="Q39" s="208" t="n">
        <f aca="false">IF(OR(ISTEXT(H39),P39=0),"",IF(P39&lt;0.1,1,IF(P39&lt;1,2,IF(P39&lt;10,3,IF(P39&lt;50,4,IF(P39&gt;=50,5,""))))))</f>
        <v>1</v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>API.REP</v>
      </c>
      <c r="Y39" s="9" t="n">
        <f aca="false">IF(ISERROR(MATCH(A39,'[1]liste reference'!$A$7:$A$906,0)),IF(ISERROR(MATCH(A39,'[1]liste reference'!$B$7:$B$906,0)),"",(MATCH(A39,'[1]liste reference'!$B$7:$B$906,0))),(MATCH(A39,'[1]liste reference'!$A$7:$A$906,0)))</f>
        <v>525</v>
      </c>
      <c r="Z39" s="212"/>
      <c r="AA39" s="213"/>
      <c r="BB39" s="9" t="n">
        <f aca="false">IF(A39="","",1)</f>
        <v>1</v>
      </c>
    </row>
    <row r="40" customFormat="false" ht="12.75" hidden="false" customHeight="false" outlineLevel="0" collapsed="false">
      <c r="A40" s="214" t="s">
        <v>90</v>
      </c>
      <c r="B40" s="215" t="n">
        <v>0.01</v>
      </c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>Scirpus sp.</v>
      </c>
      <c r="E40" s="217" t="e">
        <f aca="false">IF(D40="",0,VLOOKUP(D40,D$22:D39,1,0))</f>
        <v>#N/A</v>
      </c>
      <c r="F40" s="227" t="n">
        <f aca="false">($B40*$B$7+$C40*$C$7)/100</f>
        <v>0.009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>PHe</v>
      </c>
      <c r="H40" s="201" t="n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8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>Scirpus sp.</v>
      </c>
      <c r="L40" s="222"/>
      <c r="M40" s="222"/>
      <c r="N40" s="222"/>
      <c r="O40" s="206"/>
      <c r="P40" s="207" t="n">
        <f aca="false">IF(ISTEXT(H40),"",(B40*$B$7/100)+(C40*$C$7/100))</f>
        <v>0.009</v>
      </c>
      <c r="Q40" s="208" t="n">
        <f aca="false">IF(OR(ISTEXT(H40),P40=0),"",IF(P40&lt;0.1,1,IF(P40&lt;1,2,IF(P40&lt;10,3,IF(P40&lt;50,4,IF(P40&gt;=50,5,""))))))</f>
        <v>1</v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>SCI.SPX</v>
      </c>
      <c r="Y40" s="9" t="n">
        <f aca="false">IF(ISERROR(MATCH(A40,'[1]liste reference'!$A$7:$A$906,0)),IF(ISERROR(MATCH(A40,'[1]liste reference'!$B$7:$B$906,0)),"",(MATCH(A40,'[1]liste reference'!$B$7:$B$906,0))),(MATCH(A40,'[1]liste reference'!$A$7:$A$906,0)))</f>
        <v>670</v>
      </c>
      <c r="Z40" s="212"/>
      <c r="AA40" s="213"/>
      <c r="BB40" s="9" t="n">
        <f aca="false">IF(A40="","",1)</f>
        <v>1</v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91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Arc</v>
      </c>
      <c r="B84" s="247" t="str">
        <f aca="false">C3</f>
        <v>Aix en Provence</v>
      </c>
      <c r="C84" s="248" t="n">
        <f aca="false">A4</f>
        <v>40015</v>
      </c>
      <c r="D84" s="249" t="n">
        <f aca="false">IF(ISERROR(SUM($S$23:$S$82)/SUM($T$23:$T$82)),"",SUM($S$23:$S$82)/SUM($T$23:$T$82))</f>
        <v>8.26086956521739</v>
      </c>
      <c r="E84" s="250" t="n">
        <f aca="false">N13</f>
        <v>18</v>
      </c>
      <c r="F84" s="247" t="n">
        <f aca="false">N14</f>
        <v>14</v>
      </c>
      <c r="G84" s="247" t="n">
        <f aca="false">N15</f>
        <v>6</v>
      </c>
      <c r="H84" s="247" t="n">
        <f aca="false">N16</f>
        <v>7</v>
      </c>
      <c r="I84" s="247" t="n">
        <f aca="false">N17</f>
        <v>1</v>
      </c>
      <c r="J84" s="251" t="n">
        <f aca="false">N8</f>
        <v>8.57142857142857</v>
      </c>
      <c r="K84" s="249" t="n">
        <f aca="false">N9</f>
        <v>3.13084617990054</v>
      </c>
      <c r="L84" s="250" t="n">
        <f aca="false">N10</f>
        <v>2</v>
      </c>
      <c r="M84" s="250" t="n">
        <f aca="false">N11</f>
        <v>12</v>
      </c>
      <c r="N84" s="249" t="n">
        <f aca="false">O8</f>
        <v>1.64285714285714</v>
      </c>
      <c r="O84" s="249" t="n">
        <f aca="false">O9</f>
        <v>0.633323693776651</v>
      </c>
      <c r="P84" s="250" t="n">
        <f aca="false">O10</f>
        <v>1</v>
      </c>
      <c r="Q84" s="250" t="n">
        <f aca="false">O11</f>
        <v>3</v>
      </c>
      <c r="R84" s="252" t="n">
        <f aca="false">F21</f>
        <v>0.363</v>
      </c>
      <c r="S84" s="250" t="n">
        <f aca="false">K11</f>
        <v>0</v>
      </c>
      <c r="T84" s="250" t="n">
        <f aca="false">K12</f>
        <v>6</v>
      </c>
      <c r="U84" s="250" t="n">
        <f aca="false">K13</f>
        <v>0</v>
      </c>
      <c r="V84" s="253" t="n">
        <f aca="false">K14</f>
        <v>0</v>
      </c>
      <c r="W84" s="254" t="n">
        <f aca="false">K15</f>
        <v>12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92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93</v>
      </c>
      <c r="Q87" s="9"/>
      <c r="R87" s="209" t="n">
        <f aca="false">VLOOKUP(MAX($R$23:$R$82),($R$23:$T$82),1,0)</f>
        <v>12</v>
      </c>
      <c r="S87" s="9"/>
      <c r="T87" s="9"/>
      <c r="U87" s="9"/>
    </row>
    <row r="88" customFormat="false" ht="12.75" hidden="true" customHeight="false" outlineLevel="0" collapsed="false">
      <c r="P88" s="9" t="s">
        <v>94</v>
      </c>
      <c r="Q88" s="9"/>
      <c r="R88" s="209" t="n">
        <f aca="false">VLOOKUP((R87),($R$23:$T$82),2,0)</f>
        <v>24</v>
      </c>
      <c r="S88" s="9"/>
      <c r="T88" s="9"/>
      <c r="U88" s="9"/>
    </row>
    <row r="89" customFormat="false" ht="12.75" hidden="true" customHeight="false" outlineLevel="0" collapsed="false">
      <c r="P89" s="9" t="s">
        <v>95</v>
      </c>
      <c r="Q89" s="9"/>
      <c r="R89" s="209" t="n">
        <f aca="false">VLOOKUP((R87),($R$23:$T$82),3,0)</f>
        <v>2</v>
      </c>
      <c r="S89" s="9"/>
    </row>
    <row r="90" customFormat="false" ht="12.75" hidden="true" customHeight="false" outlineLevel="0" collapsed="false">
      <c r="P90" s="9" t="s">
        <v>96</v>
      </c>
      <c r="Q90" s="9"/>
      <c r="R90" s="257" t="n">
        <f aca="false">IF(ISERROR(SUM($S$23:$S$82)/SUM($T$23:$T$82)),"",(SUM($S$23:$S$82)-R88)/(SUM($T$23:$T$82)-R89))</f>
        <v>7.90476190476191</v>
      </c>
      <c r="S90" s="9"/>
    </row>
    <row r="91" customFormat="false" ht="12.75" hidden="true" customHeight="false" outlineLevel="0" collapsed="false">
      <c r="P91" s="208" t="s">
        <v>97</v>
      </c>
      <c r="Q91" s="208"/>
      <c r="R91" s="208" t="str">
        <f aca="false">INDEX('[1]liste reference'!$A$7:$A$906,$S$91)</f>
        <v>DIA.SPX</v>
      </c>
      <c r="S91" s="9" t="n">
        <f aca="false">IF(ISERROR(MATCH($R$93,'[1]liste reference'!$A$7:$A$906,0)),MATCH($R$93,'[1]liste reference'!$B$7:$B$906,0),(MATCH($R$93,'[1]liste reference'!$A$7:$A$906,0)))</f>
        <v>27</v>
      </c>
      <c r="T91" s="245"/>
    </row>
    <row r="92" customFormat="false" ht="12.75" hidden="true" customHeight="false" outlineLevel="0" collapsed="false">
      <c r="P92" s="9" t="s">
        <v>98</v>
      </c>
      <c r="Q92" s="9"/>
      <c r="R92" s="9" t="n">
        <f aca="false">MATCH(R87,$R$23:$R$82,0)</f>
        <v>1</v>
      </c>
      <c r="S92" s="9"/>
    </row>
    <row r="93" customFormat="false" ht="12.75" hidden="true" customHeight="false" outlineLevel="0" collapsed="false">
      <c r="P93" s="208" t="s">
        <v>99</v>
      </c>
      <c r="Q93" s="9"/>
      <c r="R93" s="208" t="str">
        <f aca="false">INDEX($A$23:$A$82,$R$92)</f>
        <v>DIA.SPX</v>
      </c>
      <c r="S93" s="9"/>
    </row>
    <row r="94" customFormat="false" ht="12.75" hidden="false" customHeight="false" outlineLevel="0" collapsed="false">
      <c r="R94" s="245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2013-10-22T15:32:57Z</dcterms:created>
  <dc:creator>elise.carnet</dc:creator>
  <dc:description/>
  <dc:language>fr-FR</dc:language>
  <cp:lastModifiedBy>elise.carnet</cp:lastModifiedBy>
  <dcterms:modified xsi:type="dcterms:W3CDTF">2013-10-22T15:33:09Z</dcterms:modified>
  <cp:revision>0</cp:revision>
  <dc:subject/>
  <dc:title/>
</cp:coreProperties>
</file>