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4.xml" ContentType="application/vnd.ms-excel.controlproperties+xml"/>
  <Override PartName="/xl/ctrlProps/ctrlProps23.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37.xml" ContentType="application/vnd.ms-excel.controlproperties+xml"/>
  <Override PartName="/xl/ctrlProps/ctrlProps38.xml" ContentType="application/vnd.ms-excel.controlproperties+xml"/>
  <Override PartName="/xl/ctrlProps/ctrlProps40.xml" ContentType="application/vnd.ms-excel.controlproperties+xml"/>
  <Override PartName="/xl/ctrlProps/ctrlProps39.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48.xml" ContentType="application/vnd.ms-excel.controlproperties+xml"/>
  <Override PartName="/xl/ctrlProps/ctrlProps11.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7.xml" ContentType="application/vnd.ms-excel.controlproperties+xml"/>
  <Override PartName="/xl/ctrlProps/ctrlProps16.xml" ContentType="application/vnd.ms-excel.controlproperties+xml"/>
  <Override PartName="/xl/ctrlProps/ctrlProps7.xml" ContentType="application/vnd.ms-excel.controlproperties+xml"/>
  <Override PartName="/xl/ctrlProps/ctrlProps6.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12.xml" ContentType="application/vnd.ms-excel.controlproperties+xml"/>
  <Override PartName="/xl/ctrlProps/ctrlProps49.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drawings/drawing36.xml" ContentType="application/vnd.openxmlformats-officedocument.drawing+xml"/>
  <Override PartName="/xl/drawings/drawing50.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drawings/drawing10.xml" ContentType="application/vnd.openxmlformats-officedocument.drawing+xml"/>
  <Override PartName="/xl/drawings/drawing22.xml" ContentType="application/vnd.openxmlformats-officedocument.drawing+xml"/>
  <Override PartName="/xl/drawings/_rels/drawing2.xml.rels" ContentType="application/vnd.openxmlformats-package.relationships+xml"/>
  <Override PartName="/xl/drawings/_rels/drawing1.xml.rels" ContentType="application/vnd.openxmlformats-package.relationships+xml"/>
  <Override PartName="/xl/drawings/vmlDrawing2.vml" ContentType="application/vnd.openxmlformats-officedocument.vmlDrawing"/>
  <Override PartName="/xl/drawings/drawing20.xml" ContentType="application/vnd.openxmlformats-officedocument.drawing+xml"/>
  <Override PartName="/xl/drawings/vmlDrawing6.vml" ContentType="application/vnd.openxmlformats-officedocument.vmlDrawing"/>
  <Override PartName="/xl/drawings/drawing15.xml" ContentType="application/vnd.openxmlformats-officedocument.drawing+xml"/>
  <Override PartName="/xl/drawings/vmlDrawing5.vml" ContentType="application/vnd.openxmlformats-officedocument.vmlDrawing"/>
  <Override PartName="/xl/_rels/workbook.xml.rels" ContentType="application/vnd.openxmlformats-package.relationships+xml"/>
  <Override PartName="/xl/media/image1.png" ContentType="image/png"/>
  <Override PartName="/xl/media/image2.png" ContentType="image/png"/>
  <Override PartName="/xl/media/image3.wmf" ContentType="image/x-wmf"/>
  <Override PartName="/xl/media/image4.wmf" ContentType="image/x-wmf"/>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202750" sheetId="6" state="visible" r:id="rId8"/>
    <sheet name="jgjg" sheetId="7" state="hidden" r:id="rId9"/>
    <sheet name="liste codes réf" sheetId="8" state="hidden" r:id="rId10"/>
  </sheets>
  <definedNames>
    <definedName function="false" hidden="false" localSheetId="5" name="_xlnm.Print_Area" vbProcedure="false">'06202750'!$A$1:$Q$82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'06202750'!$A$1:$Q$82</definedName>
    <definedName function="false" hidden="false" localSheetId="5" name="_xlnm__FilterDatabase" vbProcedure="false">'06202750'!$A$1:$C$1415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<sst xmlns="http://schemas.openxmlformats.org/spreadsheetml/2006/main" count="8832" uniqueCount="3498">
  <si>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</si>
  <si>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</si>
  <si>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</si>
  <si>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</si>
  <si>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</si>
  <si>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</si>
  <si>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</si>
  <si>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</si>
  <si>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</si>
  <si>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</si>
  <si>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</si>
  <si>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</si>
  <si>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</si>
  <si>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</si>
  <si>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</si>
  <si>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</si>
  <si>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</si>
  <si>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</si>
  <si>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</si>
  <si>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</si>
  <si>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</si>
  <si>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</si>
  <si>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</si>
  <si>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</si>
  <si>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</si>
  <si>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</si>
  <si>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</si>
  <si>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</si>
  <si>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</si>
  <si>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</si>
  <si>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</si>
  <si>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</si>
  <si>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</si>
  <si>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</si>
  <si>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</si>
  <si>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</si>
  <si>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</si>
  <si>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</si>
  <si>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</si>
  <si>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</si>
  <si>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</si>
  <si>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</si>
  <si>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</si>
  <si>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</si>
  <si>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</si>
  <si>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</si>
  <si>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</si>
  <si>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</si>
  <si>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</si>
  <si>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</si>
  <si>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</si>
  <si>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</si>
  <si>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</si>
  <si>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</si>
  <si>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</si>
  <si>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</si>
  <si>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</si>
  <si>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</si>
  <si>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</si>
  <si>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</si>
  <si>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</si>
  <si>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</si>
  <si>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</si>
  <si>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</si>
  <si>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</si>
  <si>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</si>
  <si>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</si>
  <si>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</si>
  <si>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</si>
  <si>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</si>
  <si>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</si>
  <si>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</si>
  <si>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</si>
  <si>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</si>
  <si>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</si>
  <si>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</si>
  <si>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</si>
  <si>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</si>
  <si>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</si>
  <si>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</si>
  <si>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</si>
  <si>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</si>
  <si>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</si>
  <si>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</si>
  <si>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</si>
  <si>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</si>
  <si>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</si>
  <si>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</si>
  <si>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</si>
  <si>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</si>
  <si>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</si>
  <si>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</si>
  <si>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</si>
  <si>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</si>
  <si>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</si>
  <si>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</si>
  <si>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</si>
  <si>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</si>
  <si>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</si>
  <si>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</si>
  <si>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</si>
  <si>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</si>
  <si>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</si>
  <si>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</si>
  <si>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</si>
  <si>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</si>
  <si>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</si>
  <si>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</si>
  <si>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</si>
  <si>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</si>
  <si>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</si>
  <si>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</si>
  <si>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</si>
  <si>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</si>
  <si>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</si>
  <si>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</si>
  <si>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</si>
  <si>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</si>
  <si>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</si>
  <si>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</si>
  <si>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</si>
  <si>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</si>
  <si>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</si>
  <si>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</si>
  <si>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</si>
  <si>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</si>
  <si>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</si>
  <si>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</si>
  <si>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</si>
  <si>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</si>
  <si>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</si>
  <si>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</si>
  <si>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</si>
  <si>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</si>
  <si>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</si>
  <si>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</si>
  <si>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</si>
  <si>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</si>
  <si>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</si>
  <si>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</si>
  <si>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</si>
  <si>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</si>
  <si>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</si>
  <si>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</si>
  <si>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</si>
  <si>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</si>
  <si>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</si>
  <si>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</si>
  <si>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</si>
  <si>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</si>
  <si>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</si>
  <si>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</si>
  <si>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</si>
  <si>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</si>
  <si>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</si>
  <si>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</si>
  <si>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</si>
  <si>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</si>
  <si>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</si>
  <si>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</si>
  <si>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</si>
  <si>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</si>
  <si>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</si>
  <si>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</si>
  <si>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</si>
  <si>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</si>
  <si>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</si>
  <si>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</si>
  <si>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</si>
  <si>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</si>
  <si>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</si>
  <si>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</si>
  <si>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</si>
  <si>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</si>
  <si>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</si>
  <si>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</si>
  <si>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</si>
  <si>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</si>
  <si>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</si>
  <si>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</si>
  <si>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</si>
  <si>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</si>
  <si>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</si>
  <si>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</si>
  <si>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</si>
  <si>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</si>
  <si>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</si>
  <si>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</si>
  <si>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</si>
  <si>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</si>
  <si>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</si>
  <si>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</si>
  <si>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</si>
  <si>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</si>
  <si>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</si>
  <si>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</si>
  <si>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</si>
  <si>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</si>
  <si>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</si>
  <si>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</si>
  <si>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</si>
  <si>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</si>
  <si>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</si>
  <si>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</si>
  <si>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</si>
  <si>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</si>
  <si>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</si>
  <si>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</si>
  <si>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</si>
  <si>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</si>
  <si>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</si>
  <si>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</si>
  <si>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</si>
  <si>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</si>
  <si>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</si>
  <si>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</si>
  <si>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</si>
  <si>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</si>
  <si>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</si>
  <si>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</si>
  <si>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</si>
  <si>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</si>
  <si>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</si>
  <si>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</si>
  <si>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</si>
  <si>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</si>
  <si>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</si>
  <si>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</si>
  <si>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</si>
  <si>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</si>
  <si>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</si>
  <si>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</si>
  <si>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</si>
  <si>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</si>
  <si>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</si>
  <si>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</si>
  <si>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</si>
  <si>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</si>
  <si>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</si>
  <si>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</si>
  <si>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</si>
  <si>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</si>
  <si>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</si>
  <si>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</si>
  <si>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</si>
  <si>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</si>
  <si>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</si>
  <si>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</si>
  <si>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</si>
  <si>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</si>
  <si>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</si>
  <si>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</si>
  <si>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</si>
  <si>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</si>
  <si>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</si>
  <si>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</si>
  <si>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</si>
  <si>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</si>
  <si>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</si>
  <si>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</si>
  <si>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</si>
  <si>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</si>
  <si>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</si>
  <si>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</si>
  <si>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</si>
  <si>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</si>
  <si>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</si>
  <si>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</si>
  <si>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</si>
  <si>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</si>
  <si>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</si>
  <si>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</si>
  <si>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</si>
  <si>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</si>
  <si>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</si>
  <si>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</si>
  <si>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</si>
  <si>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</si>
  <si>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</si>
  <si>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</si>
  <si>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</si>
  <si>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</si>
  <si>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</si>
  <si>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</si>
  <si>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</si>
  <si>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</si>
  <si>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</si>
  <si>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</si>
  <si>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</si>
  <si>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</si>
  <si>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</si>
  <si>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</si>
  <si>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</si>
  <si>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</si>
  <si>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</si>
  <si>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</si>
  <si>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</si>
  <si>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</si>
  <si>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</si>
  <si>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</si>
  <si>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</si>
  <si>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</si>
  <si>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</si>
  <si>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</si>
  <si>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</si>
  <si>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</si>
  <si>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</si>
  <si>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</si>
  <si>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</si>
  <si>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</si>
  <si>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</si>
  <si>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</si>
  <si>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</si>
  <si>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</si>
  <si>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</si>
  <si>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</si>
  <si>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</si>
  <si>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</si>
  <si>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</si>
  <si>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</si>
  <si>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</si>
  <si>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</si>
  <si>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</si>
  <si>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</si>
  <si>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</si>
  <si>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</si>
  <si>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</si>
  <si>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</si>
  <si>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</si>
  <si>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</si>
  <si>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</si>
  <si>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</si>
  <si>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</si>
  <si>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</si>
  <si>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</si>
  <si>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</si>
  <si>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</si>
  <si>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</si>
  <si>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</si>
  <si>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</si>
  <si>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</si>
  <si>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</si>
  <si>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</si>
  <si>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</si>
  <si>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</si>
  <si>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</si>
  <si>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</si>
  <si>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</si>
  <si>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</si>
  <si>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</si>
  <si>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</si>
  <si>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</si>
  <si>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</si>
  <si>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</si>
  <si>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</si>
  <si>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</si>
  <si>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</si>
  <si>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</si>
  <si>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</si>
  <si>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</si>
  <si>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</si>
  <si>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</si>
  <si>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</si>
  <si>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</si>
  <si>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</si>
  <si>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</si>
  <si>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</si>
  <si>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</si>
  <si>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</si>
  <si>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</si>
  <si>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</si>
  <si>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</si>
  <si>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</si>
  <si>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</si>
  <si>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</si>
  <si>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</si>
  <si>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</si>
  <si>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</si>
  <si>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</si>
  <si>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</si>
  <si>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</si>
  <si>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</si>
  <si>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</si>
  <si>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</si>
  <si>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</si>
  <si>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</si>
  <si>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</si>
  <si>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</si>
  <si>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</si>
  <si>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</si>
  <si>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</si>
  <si>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</si>
  <si>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</si>
  <si>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</si>
  <si>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</si>
  <si>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</si>
  <si>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</si>
  <si>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</si>
  <si>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</si>
  <si>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</si>
  <si>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</si>
  <si>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</si>
  <si>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</si>
  <si>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</si>
  <si>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</si>
  <si>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</si>
  <si>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</si>
  <si>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</si>
  <si>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</si>
  <si>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</si>
  <si>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</si>
  <si>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</si>
  <si>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</si>
  <si>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</si>
  <si>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</si>
  <si>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</si>
  <si>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</si>
  <si>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</si>
  <si>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</si>
  <si>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</si>
  <si>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</si>
  <si>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</si>
  <si>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</si>
  <si>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</si>
  <si>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</si>
  <si>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</si>
  <si>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</si>
  <si>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</si>
  <si>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</si>
  <si>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</si>
  <si>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</si>
  <si>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</si>
  <si>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</si>
  <si>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</si>
  <si>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</si>
  <si>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</si>
  <si>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</si>
  <si>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</si>
  <si>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</si>
  <si>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</si>
  <si>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</si>
  <si>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</si>
  <si>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</si>
  <si>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</si>
  <si>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</si>
  <si>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</si>
  <si>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</si>
  <si>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</si>
  <si>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</si>
  <si>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</si>
  <si>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</si>
  <si>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</si>
  <si>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</si>
  <si>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</si>
  <si>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</si>
  <si>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</si>
  <si>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</si>
  <si>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</si>
  <si>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</si>
  <si>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</si>
  <si>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</si>
  <si>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</si>
  <si>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</si>
  <si>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</si>
  <si>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</si>
  <si>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</si>
  <si>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</si>
  <si>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</si>
  <si>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</si>
  <si>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</si>
  <si>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</si>
  <si>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</si>
  <si>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</si>
  <si>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</si>
  <si>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</si>
  <si>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</si>
  <si>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</si>
  <si>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</si>
  <si>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</si>
  <si>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</si>
  <si>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</si>
  <si>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</si>
  <si>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</si>
  <si>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</si>
  <si>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</si>
  <si>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</si>
  <si>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</si>
  <si>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</si>
  <si>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</si>
  <si>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</si>
  <si>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</si>
  <si>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</si>
  <si>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</si>
  <si>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</si>
  <si>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</si>
  <si>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</si>
  <si>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</si>
  <si>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</si>
  <si>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</si>
  <si>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</si>
  <si>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</si>
  <si>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</si>
  <si>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</si>
  <si>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</si>
  <si>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</si>
  <si>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</si>
  <si>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</si>
  <si>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</si>
  <si>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</si>
  <si>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</si>
  <si>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</si>
  <si>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</si>
  <si>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</si>
  <si>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</si>
  <si>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</si>
  <si>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</si>
  <si>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</si>
  <si>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</si>
  <si>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</si>
  <si>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</si>
  <si>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</si>
  <si>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</si>
  <si>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</si>
  <si>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</si>
  <si>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</si>
  <si>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</si>
  <si>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</si>
  <si>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</si>
  <si>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</si>
  <si>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</si>
  <si>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</si>
  <si>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</si>
  <si>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</si>
  <si>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</si>
  <si>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</si>
  <si>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</si>
  <si>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</si>
  <si>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</si>
  <si>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</si>
  <si>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</si>
  <si>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</si>
  <si>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</si>
  <si>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</si>
  <si>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</si>
  <si>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</si>
  <si>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</si>
  <si>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</si>
  <si>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</si>
  <si>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</si>
  <si>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</si>
  <si>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</si>
  <si>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</si>
  <si>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</si>
  <si>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</si>
  <si>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</si>
  <si>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</si>
  <si>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</si>
  <si>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</si>
  <si>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</si>
  <si>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</si>
  <si>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</si>
  <si>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</si>
  <si>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</si>
  <si>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</si>
  <si>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</si>
  <si>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</si>
  <si>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</si>
  <si>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</si>
  <si>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</si>
  <si>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</si>
  <si>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</si>
  <si>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</si>
  <si>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</si>
  <si>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</si>
  <si>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</si>
  <si>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</si>
  <si>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</si>
  <si>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</si>
  <si>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</si>
  <si>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</si>
  <si>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</si>
  <si>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</si>
  <si>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</si>
  <si>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</si>
  <si>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</si>
  <si>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</si>
  <si>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</si>
  <si>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</si>
  <si>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</si>
  <si>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</si>
  <si>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</si>
  <si>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</si>
  <si>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</si>
  <si>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</si>
  <si>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</si>
  <si>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</si>
  <si>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</si>
  <si>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</si>
  <si>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</si>
  <si>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</si>
  <si>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</si>
  <si>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</si>
  <si>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</si>
  <si>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</si>
  <si>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</si>
  <si>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</si>
  <si>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</si>
  <si>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</si>
  <si>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</si>
  <si>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</si>
  <si>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</si>
  <si>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</si>
  <si>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</si>
  <si>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</si>
  <si>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</si>
  <si>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</si>
  <si>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</si>
  <si>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</si>
  <si>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</si>
  <si>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</si>
  <si>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</si>
  <si>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</si>
  <si>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</si>
  <si>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</si>
  <si>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</si>
  <si>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</si>
  <si>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</si>
  <si>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</si>
  <si>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</si>
  <si>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</si>
  <si>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</si>
  <si>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</si>
  <si>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</si>
  <si>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</si>
  <si>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</si>
  <si>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</si>
  <si>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</si>
  <si>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</si>
  <si>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</si>
  <si>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</si>
  <si>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</si>
  <si>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</si>
  <si>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</si>
  <si>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</si>
  <si>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</si>
  <si>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</si>
  <si>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</si>
  <si>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</si>
  <si>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</si>
  <si>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</si>
  <si>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</si>
  <si>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</si>
  <si>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</si>
  <si>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</si>
  <si>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</si>
  <si>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</si>
  <si>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</si>
  <si>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</si>
  <si>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</si>
  <si>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</si>
  <si>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</si>
  <si>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</si>
  <si>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</si>
  <si>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</si>
  <si>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</si>
  <si>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</si>
  <si>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</si>
  <si>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</si>
  <si>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</si>
  <si>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</si>
  <si>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</si>
  <si>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</si>
  <si>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</si>
  <si>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</si>
  <si>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</si>
  <si>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</si>
  <si>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</si>
  <si>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</si>
  <si>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</si>
  <si>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</si>
  <si>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</si>
  <si>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</si>
  <si>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</si>
  <si>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</si>
  <si>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</si>
  <si>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</si>
  <si>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</si>
  <si>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</si>
  <si>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</si>
  <si>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</si>
  <si>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</si>
  <si>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</si>
  <si>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</si>
  <si>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</si>
  <si>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</si>
  <si>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</si>
  <si>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</si>
  <si>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</si>
  <si>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</si>
  <si>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</si>
  <si>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</si>
  <si>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</si>
  <si>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</si>
  <si>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</si>
  <si>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</si>
  <si>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</si>
  <si>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</si>
  <si>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</si>
  <si>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</si>
  <si>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</si>
  <si>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</si>
  <si>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</si>
  <si>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</si>
  <si>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</si>
  <si>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</si>
  <si>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</si>
  <si>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</si>
  <si>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</si>
  <si>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</si>
  <si>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</si>
  <si>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</si>
  <si>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</si>
  <si>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</si>
  <si>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</si>
  <si>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</si>
  <si>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</si>
  <si>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</si>
  <si>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</si>
  <si>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</si>
  <si>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</si>
  <si>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</si>
  <si>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</si>
  <si>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</si>
  <si>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</si>
  <si>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</si>
  <si>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</si>
  <si>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</si>
  <si>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</si>
  <si>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</si>
  <si>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</si>
  <si>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</si>
  <si>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</si>
  <si>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</si>
  <si>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</si>
  <si>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</si>
  <si>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</si>
  <si>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</si>
  <si>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</si>
  <si>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</si>
  <si>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</si>
  <si>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</si>
  <si>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</si>
  <si>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</si>
  <si>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</si>
  <si>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</si>
  <si>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</si>
  <si>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</si>
  <si>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</si>
  <si>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</si>
  <si>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</si>
  <si>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</si>
  <si>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</si>
  <si>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</si>
  <si>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</si>
  <si>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</si>
  <si>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</si>
  <si>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</si>
  <si>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</si>
  <si>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</si>
  <si>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</si>
  <si>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</si>
  <si>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</si>
  <si>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</si>
  <si>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</si>
  <si>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</si>
  <si>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</si>
  <si>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</si>
  <si>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</si>
  <si>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</si>
  <si>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</si>
  <si>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</si>
  <si>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</si>
  <si>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</si>
  <si>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</si>
  <si>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</si>
  <si>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</si>
  <si>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</si>
  <si>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</si>
  <si>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</si>
  <si>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</si>
  <si>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</si>
  <si>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</si>
  <si>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</si>
  <si>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</si>
  <si>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</si>
  <si>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</si>
  <si>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</si>
  <si>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</si>
  <si>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</si>
  <si>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</si>
  <si>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</si>
  <si>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</si>
  <si>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</si>
  <si>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</si>
  <si>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</si>
  <si>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</si>
  <si>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</si>
  <si>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</si>
  <si>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</si>
  <si>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</si>
  <si>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</si>
  <si>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</si>
  <si>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</si>
  <si>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</si>
  <si>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</si>
  <si>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</si>
  <si>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</si>
  <si>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</si>
  <si>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</si>
  <si>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</si>
  <si>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</si>
  <si>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</si>
  <si>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</si>
  <si>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</si>
  <si>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</si>
  <si>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</si>
  <si>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</si>
  <si>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</si>
  <si>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</si>
  <si>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</si>
  <si>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</si>
  <si>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</si>
  <si>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</si>
  <si>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</si>
  <si>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</si>
  <si>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</si>
  <si>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</si>
  <si>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</si>
  <si>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</si>
  <si>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</si>
  <si>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</si>
  <si>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</si>
  <si>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</si>
  <si>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</si>
  <si>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</si>
  <si>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</si>
  <si>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</si>
  <si>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</si>
  <si>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</si>
  <si>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</si>
  <si>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</si>
  <si>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</si>
  <si>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</si>
  <si>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</si>
  <si>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</si>
  <si>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</si>
  <si>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</si>
  <si>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</si>
  <si>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</si>
  <si>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</si>
  <si>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</si>
  <si>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</si>
  <si>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</si>
  <si>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</si>
  <si>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</si>
  <si>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</si>
  <si>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</si>
  <si>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</si>
  <si>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</si>
  <si>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</si>
  <si>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</si>
  <si>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</si>
  <si>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</si>
  <si>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</si>
  <si>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</si>
  <si>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</si>
  <si>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</si>
  <si>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</si>
  <si>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</si>
  <si>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</si>
  <si>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</si>
  <si>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</si>
  <si>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</si>
  <si>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</si>
  <si>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</si>
  <si>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</si>
  <si>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</si>
  <si>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</si>
  <si>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</si>
  <si>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</si>
  <si>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</si>
  <si>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</si>
  <si>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</si>
  <si>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</si>
  <si>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</si>
  <si>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</si>
  <si>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</si>
  <si>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</si>
  <si>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</si>
  <si>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</si>
  <si>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</si>
  <si>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</si>
  <si>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</si>
  <si>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</si>
  <si>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</si>
  <si>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</si>
  <si>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</si>
  <si>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</si>
  <si>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</si>
  <si>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</si>
  <si>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</si>
  <si>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</si>
  <si>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</si>
  <si>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</si>
  <si>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</si>
  <si>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</si>
  <si>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</si>
  <si>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</si>
  <si>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</si>
  <si>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</si>
  <si>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</si>
  <si>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</si>
  <si>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</si>
  <si>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</si>
  <si>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</si>
  <si>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</si>
  <si>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</si>
  <si>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</si>
  <si>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</si>
  <si>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</si>
  <si>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</si>
  <si>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</si>
  <si>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</si>
  <si>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</si>
  <si>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</si>
  <si>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</si>
  <si>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</si>
  <si>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</si>
  <si>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</si>
  <si>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</si>
  <si>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</si>
  <si>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</si>
  <si>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</si>
  <si>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</si>
  <si>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</si>
  <si>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</si>
  <si>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</si>
  <si>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</si>
  <si>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</si>
  <si>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</si>
  <si>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</si>
  <si>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</si>
  <si>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</si>
  <si>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</si>
  <si>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</si>
  <si>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</si>
  <si>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</si>
  <si>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</si>
  <si>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</si>
  <si>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</si>
  <si>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</si>
  <si>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</si>
  <si>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</si>
  <si>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</si>
  <si>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</si>
  <si>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</si>
  <si>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</si>
  <si>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</si>
  <si>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</si>
  <si>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</si>
  <si>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</si>
  <si>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</si>
  <si>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</si>
  <si>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</si>
  <si>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</si>
  <si>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</si>
  <si>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</si>
  <si>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</si>
  <si>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</si>
  <si>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</si>
  <si>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</si>
  <si>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</si>
  <si>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</si>
  <si>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</si>
  <si>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</si>
  <si>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</si>
  <si>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</si>
  <si>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</si>
  <si>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</si>
  <si>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</si>
  <si>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</si>
  <si>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</si>
  <si>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</si>
  <si>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</si>
  <si>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</si>
  <si>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</si>
  <si>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</si>
  <si>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</si>
  <si>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</si>
  <si>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</si>
  <si>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</si>
  <si>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</si>
  <si>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</si>
  <si>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</si>
  <si>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</si>
  <si>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</si>
  <si>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</si>
  <si>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</si>
  <si>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</si>
  <si>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</si>
  <si>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</si>
  <si>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</si>
  <si>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</si>
  <si>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</si>
  <si>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</si>
  <si>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</si>
  <si>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</si>
  <si>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</si>
  <si>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</si>
  <si>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</si>
  <si>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</si>
  <si>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</si>
  <si>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</si>
  <si>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</si>
  <si>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</si>
  <si>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</si>
  <si>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</si>
  <si>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</si>
  <si>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</si>
  <si>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</si>
  <si>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</si>
  <si>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</si>
  <si>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</si>
  <si>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</si>
  <si>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</si>
  <si>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</si>
  <si>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</si>
  <si>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</si>
  <si>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</si>
  <si>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</si>
  <si>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</si>
  <si>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</si>
  <si>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</si>
  <si>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</si>
  <si>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</si>
  <si>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</si>
  <si>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</si>
  <si>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</si>
  <si>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</si>
  <si>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</si>
  <si>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</si>
  <si>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</si>
  <si>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</si>
  <si>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</si>
  <si>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</si>
  <si>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</si>
  <si>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</si>
  <si>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</si>
  <si>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</si>
  <si>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</si>
  <si>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</si>
  <si>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</si>
  <si>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</si>
  <si>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</si>
  <si>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</si>
  <si>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</si>
  <si>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</si>
  <si>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</si>
  <si>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</si>
  <si>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</si>
  <si>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</si>
  <si>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</si>
  <si>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</si>
  <si>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</si>
  <si>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</si>
  <si>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</si>
  <si>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</si>
  <si>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</si>
  <si>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</si>
  <si>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</si>
  <si>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</si>
  <si>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</si>
  <si>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</si>
  <si>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</si>
  <si>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</si>
  <si>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</si>
  <si>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</si>
  <si>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</si>
  <si>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</si>
  <si>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</si>
  <si>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</si>
  <si>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</si>
  <si>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</si>
  <si>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</si>
  <si>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</si>
  <si>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</si>
  <si>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</si>
  <si>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</si>
  <si>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</si>
  <si>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</si>
  <si>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</si>
  <si>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</si>
  <si>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</si>
  <si>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</si>
  <si>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</si>
  <si>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</si>
  <si>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</si>
  <si>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</si>
  <si>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</si>
  <si>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</si>
  <si>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</si>
  <si>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</si>
  <si>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</si>
  <si>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</si>
  <si>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</si>
  <si>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</si>
  <si>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</si>
  <si>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</si>
  <si>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</si>
  <si>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</si>
  <si>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</si>
  <si>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</si>
  <si>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</si>
  <si>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</si>
  <si>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</si>
  <si>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</si>
  <si>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</si>
  <si>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</si>
  <si>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</si>
  <si>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</si>
  <si>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</si>
  <si>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</si>
  <si>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</si>
  <si>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</si>
  <si>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</si>
  <si>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</si>
  <si>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</si>
  <si>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</si>
  <si>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</si>
  <si>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</si>
  <si>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</si>
  <si>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</si>
  <si>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</si>
  <si>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</si>
  <si>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</si>
  <si>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</si>
  <si>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</si>
  <si>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</si>
  <si>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</si>
  <si>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</si>
  <si>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</si>
  <si>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</si>
  <si>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</si>
  <si>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</si>
  <si>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</si>
  <si>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</si>
  <si>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</si>
  <si>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</si>
  <si>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</si>
  <si>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</si>
  <si>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</si>
  <si>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</si>
  <si>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</si>
  <si>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</si>
  <si>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</si>
  <si>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</si>
  <si>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</si>
  <si>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</si>
  <si>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</si>
  <si>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</si>
  <si>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</si>
  <si>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</si>
  <si>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</si>
  <si>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</si>
  <si>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</si>
  <si>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</si>
  <si>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</si>
  <si>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</si>
  <si>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</si>
  <si>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</si>
  <si>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</si>
  <si>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</si>
  <si>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</si>
  <si>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</si>
  <si>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</si>
  <si>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</si>
  <si>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</si>
  <si>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</si>
  <si>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</si>
  <si>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</si>
  <si>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</si>
  <si>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</si>
  <si>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</si>
  <si>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</si>
  <si>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</si>
  <si>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</si>
  <si>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</si>
  <si>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</si>
  <si>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</si>
  <si>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</si>
  <si>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</si>
  <si>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</si>
  <si>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</si>
  <si>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</si>
  <si>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</si>
  <si>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</si>
  <si>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</si>
  <si>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</si>
  <si>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</si>
  <si>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</si>
  <si>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</si>
  <si>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</si>
  <si>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</si>
  <si>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</si>
  <si>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</si>
  <si>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</si>
  <si>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</si>
  <si>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</si>
  <si>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</si>
  <si>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</si>
  <si>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</si>
  <si>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</si>
  <si>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</si>
  <si>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</si>
  <si>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</si>
  <si>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</si>
  <si>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</si>
  <si>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</si>
  <si>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</si>
  <si>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</si>
  <si>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</si>
  <si>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</si>
  <si>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</si>
  <si>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</si>
  <si>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</si>
  <si>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</si>
  <si>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</si>
  <si>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</si>
  <si>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</si>
  <si>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</si>
  <si>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</si>
  <si>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</si>
  <si>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</si>
  <si>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</si>
  <si>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</si>
  <si>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</si>
  <si>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</si>
  <si>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</si>
  <si>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</si>
  <si>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</si>
  <si>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</si>
  <si>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</si>
  <si>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</si>
  <si>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</si>
  <si>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</si>
  <si>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</si>
  <si>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</si>
  <si>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</si>
  <si>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</si>
  <si>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</si>
  <si>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</si>
  <si>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</si>
  <si>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</si>
  <si>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</si>
  <si>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</si>
  <si>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</si>
  <si>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</si>
  <si>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</si>
  <si>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</si>
  <si>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</si>
  <si>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</si>
  <si>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</si>
  <si>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</si>
  <si>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</si>
  <si>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</si>
  <si>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</si>
  <si>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</si>
  <si>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</si>
  <si>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</si>
  <si>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</si>
  <si>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</si>
  <si>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</si>
  <si>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</si>
  <si>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</si>
  <si>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</si>
  <si>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</si>
  <si>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</si>
  <si>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</si>
  <si>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</si>
  <si>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</si>
  <si>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</si>
  <si>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</si>
  <si>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</si>
  <si>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</si>
  <si>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</si>
  <si>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</si>
  <si>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</si>
  <si>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</si>
  <si>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</si>
  <si>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</si>
  <si>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</si>
  <si>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</si>
  <si>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</si>
  <si>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</si>
  <si>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</si>
  <si>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</si>
  <si>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</si>
  <si>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</si>
  <si>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</si>
  <si>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</si>
  <si>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</si>
  <si>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</si>
  <si>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</si>
  <si>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</si>
  <si>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</si>
  <si>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</si>
  <si>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</si>
  <si>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</si>
  <si>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</si>
  <si>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</si>
  <si>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</si>
  <si>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</si>
  <si>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</si>
  <si>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</si>
  <si>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</si>
  <si>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</si>
  <si>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</si>
  <si>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</si>
  <si>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</si>
  <si>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</si>
  <si>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</si>
  <si>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</si>
  <si>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</si>
  <si>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</si>
  <si>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</si>
  <si>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</si>
  <si>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</si>
  <si>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</si>
  <si>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</si>
  <si>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</si>
  <si>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</si>
  <si>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</si>
  <si>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</si>
  <si>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</si>
  <si>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</si>
  <si>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</si>
  <si>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</si>
  <si>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</si>
  <si>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</si>
  <si>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</si>
  <si>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</si>
  <si>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</si>
  <si>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</si>
  <si>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</si>
  <si>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</si>
  <si>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</si>
  <si>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</si>
  <si>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</si>
  <si>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</si>
  <si>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</si>
  <si>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</si>
  <si>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</si>
  <si>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</si>
  <si>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</si>
  <si>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</si>
  <si>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</si>
  <si>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</si>
  <si>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</si>
  <si>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</si>
  <si>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</si>
  <si>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</si>
  <si>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</si>
  <si>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</si>
  <si>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</si>
  <si>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</si>
  <si>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</si>
  <si>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</si>
  <si>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</si>
  <si>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</si>
  <si>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</si>
  <si>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</si>
  <si>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</si>
  <si>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</si>
  <si>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</si>
  <si>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</si>
  <si>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</si>
  <si>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</si>
  <si>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</si>
  <si>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</si>
  <si>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</si>
  <si>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</si>
  <si>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</si>
  <si>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</si>
  <si>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</si>
  <si>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</si>
  <si>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</si>
  <si>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</si>
  <si>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</si>
  <si>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</si>
  <si>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</si>
  <si>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</si>
  <si>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</si>
  <si>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</si>
  <si>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</si>
  <si>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</si>
  <si>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</si>
  <si>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</si>
  <si>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</si>
  <si>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</si>
  <si>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</si>
  <si>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</si>
  <si>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</si>
  <si>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</si>
  <si>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</si>
  <si>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</si>
  <si>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</si>
  <si>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</si>
  <si>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</si>
  <si>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</si>
  <si>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</si>
  <si>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</si>
  <si>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</si>
  <si>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</si>
  <si>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</si>
  <si>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</si>
  <si>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</si>
  <si>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</si>
  <si>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</si>
  <si>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</si>
  <si>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</si>
  <si>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</si>
  <si>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</si>
  <si>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</si>
  <si>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</si>
  <si>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</si>
  <si>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</si>
  <si>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</si>
  <si>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</si>
  <si>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</si>
  <si>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</si>
  <si>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</si>
  <si>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</si>
  <si>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</si>
  <si>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</si>
  <si>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</si>
  <si>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</si>
  <si>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</si>
  <si>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</si>
  <si>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</si>
  <si>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</si>
  <si>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</si>
  <si>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</si>
  <si>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</si>
  <si>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</si>
  <si>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</si>
  <si>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</si>
  <si>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</si>
  <si>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</si>
  <si>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</si>
  <si>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</si>
  <si>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</si>
  <si>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</si>
  <si>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</si>
  <si>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</si>
  <si>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</si>
  <si>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</si>
  <si>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</si>
  <si>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</si>
  <si>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</si>
  <si>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</si>
  <si>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</si>
  <si>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</si>
  <si>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</si>
  <si>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</si>
  <si>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</si>
  <si>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</si>
  <si>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</si>
  <si>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</si>
  <si>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</si>
  <si>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</si>
  <si>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</si>
  <si>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</si>
  <si>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</si>
  <si>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</si>
  <si>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</si>
  <si>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</si>
  <si>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</si>
  <si>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</si>
  <si>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</si>
  <si>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</si>
  <si>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</si>
  <si>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</si>
  <si>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</si>
  <si>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</si>
  <si>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</si>
  <si>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</si>
  <si>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</si>
  <si>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</si>
  <si>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</si>
  <si>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</si>
  <si>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</si>
  <si>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</si>
  <si>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</si>
  <si>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</si>
  <si>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</si>
  <si>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</si>
  <si>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</si>
  <si>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</si>
  <si>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</si>
  <si>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</si>
  <si>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</si>
  <si>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</si>
  <si>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</si>
  <si>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</si>
  <si>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</si>
  <si>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</si>
  <si>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</si>
  <si>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</si>
  <si>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</si>
  <si>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</si>
  <si>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</si>
  <si>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</si>
  <si>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</si>
  <si>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</si>
  <si>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</si>
  <si>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</si>
  <si>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</si>
  <si>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</si>
  <si>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</si>
  <si>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</si>
  <si>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</si>
  <si>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</si>
  <si>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</si>
  <si>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</si>
  <si>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</si>
  <si>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</si>
  <si>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</si>
  <si>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</si>
  <si>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</si>
  <si>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</si>
  <si>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</si>
  <si>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</si>
  <si>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</si>
  <si>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</si>
  <si>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</si>
  <si>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</si>
  <si>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</si>
  <si>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</si>
  <si>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</si>
  <si>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</si>
  <si>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</si>
  <si>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</si>
  <si>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</si>
  <si>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</si>
  <si>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</si>
  <si>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</si>
  <si>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</si>
  <si>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</si>
  <si>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</si>
  <si>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</si>
  <si>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</si>
  <si>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</si>
  <si>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</si>
  <si>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</si>
  <si>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</si>
  <si>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</si>
  <si>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</si>
  <si>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</si>
  <si>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</si>
  <si>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</si>
  <si>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</si>
  <si>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</si>
  <si>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</si>
  <si>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</si>
  <si>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</si>
  <si>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</si>
  <si>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</si>
  <si>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</si>
  <si>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</si>
  <si>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</si>
  <si>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</si>
  <si>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</si>
  <si>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</si>
  <si>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</si>
  <si>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</si>
  <si>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</si>
  <si>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</si>
  <si>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</si>
  <si>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</si>
  <si>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</si>
  <si>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</si>
  <si>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</si>
  <si>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</si>
  <si>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</si>
  <si>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</si>
  <si>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</si>
  <si>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</si>
  <si>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</si>
  <si>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</si>
  <si>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</si>
  <si>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</si>
  <si>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</si>
  <si>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</si>
  <si>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</si>
  <si>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</si>
  <si>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</si>
  <si>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</si>
  <si>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</si>
  <si>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</si>
  <si>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</si>
  <si>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</si>
  <si>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</si>
  <si>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</si>
  <si>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</si>
  <si>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</si>
  <si>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</si>
  <si>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</si>
  <si>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</si>
  <si>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</si>
  <si>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</si>
  <si>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</si>
  <si>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</si>
  <si>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</si>
  <si>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</si>
  <si>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</si>
  <si>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</si>
  <si>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</si>
  <si>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</si>
  <si>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</si>
  <si>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</si>
  <si>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</si>
  <si>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</si>
  <si>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</si>
  <si>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</si>
  <si>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</si>
  <si>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</si>
  <si>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</si>
  <si>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</si>
  <si>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</si>
  <si>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</si>
  <si>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</si>
  <si>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</si>
  <si>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</si>
  <si>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</si>
  <si>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</si>
  <si>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</si>
  <si>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</si>
  <si>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</si>
  <si>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</si>
  <si>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</si>
  <si>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</si>
  <si>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</si>
  <si>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</si>
  <si>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</si>
  <si>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</si>
  <si>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</si>
  <si>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</si>
  <si>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</si>
  <si>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</si>
  <si>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</si>
  <si>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</si>
  <si>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</si>
  <si>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</si>
  <si>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</si>
  <si>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</si>
  <si>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</si>
  <si>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</si>
  <si>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</si>
  <si>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</si>
  <si>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</si>
  <si>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</si>
  <si>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</si>
  <si>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</si>
  <si>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</si>
  <si>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</si>
  <si>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</si>
  <si>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</si>
  <si>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</si>
  <si>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</si>
  <si>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</si>
  <si>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</si>
  <si>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</si>
  <si>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</si>
  <si>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</si>
  <si>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</si>
  <si>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</si>
  <si>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</si>
  <si>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</si>
  <si>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</si>
  <si>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</si>
  <si>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</si>
  <si>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</si>
  <si>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</si>
  <si>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</si>
  <si>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</si>
  <si>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</si>
  <si>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</si>
  <si>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</si>
  <si>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</si>
  <si>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</si>
  <si>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</si>
  <si>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</si>
  <si>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</si>
  <si>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</si>
  <si>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</si>
  <si>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</si>
  <si>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</si>
  <si>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</si>
  <si>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</si>
  <si>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</si>
  <si>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</si>
  <si>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</si>
  <si>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</si>
  <si>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</si>
  <si>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</si>
  <si>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</si>
  <si>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</si>
  <si>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</si>
  <si>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</si>
  <si>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</si>
  <si>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</si>
  <si>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</si>
  <si>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</si>
  <si>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</si>
  <si>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</si>
  <si>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</si>
  <si>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</si>
  <si>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</si>
  <si>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</si>
  <si>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</si>
  <si>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</si>
  <si>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</si>
  <si>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</si>
  <si>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</si>
  <si>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</si>
  <si>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</si>
  <si>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</si>
  <si>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</si>
  <si>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</si>
  <si>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</si>
  <si>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</si>
  <si>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</si>
  <si>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</si>
  <si>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</si>
  <si>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</si>
  <si>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</si>
  <si>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</si>
  <si>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</si>
  <si>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</si>
  <si>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</si>
  <si>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</si>
  <si>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</si>
  <si>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</si>
  <si>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</si>
  <si>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</si>
  <si>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</si>
  <si>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</si>
  <si>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</si>
  <si>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</si>
  <si>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</si>
  <si>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</si>
  <si>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</si>
  <si>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</si>
  <si>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</si>
  <si>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</si>
  <si>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</si>
  <si>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</si>
  <si>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</si>
  <si>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</si>
  <si>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</si>
  <si>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</si>
  <si>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</si>
  <si>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</si>
  <si>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</si>
  <si>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</si>
  <si>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</si>
  <si>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</si>
  <si>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</si>
  <si>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</si>
  <si>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</si>
  <si>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</si>
  <si>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</si>
  <si>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</si>
  <si>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</si>
  <si>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</si>
  <si>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</si>
  <si>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</si>
  <si>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</si>
  <si>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</si>
  <si>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</si>
  <si>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</si>
  <si>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</si>
  <si>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</si>
  <si>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</si>
  <si>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</si>
  <si>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</si>
  <si>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</si>
  <si>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</si>
  <si>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</si>
  <si>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</si>
  <si>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</si>
  <si>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</si>
  <si>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</si>
  <si>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</si>
  <si>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</si>
  <si>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</si>
  <si>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</si>
  <si>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</si>
  <si>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</si>
  <si>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</si>
  <si>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</si>
  <si>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</si>
  <si>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</si>
  <si>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</si>
  <si>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</si>
  <si>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</si>
  <si>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</si>
  <si>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</si>
  <si>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</si>
  <si>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</si>
  <si>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</si>
  <si>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</si>
  <si>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</si>
  <si>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</si>
  <si>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</si>
  <si>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</si>
  <si>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</si>
  <si>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</si>
  <si>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</si>
  <si>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</si>
  <si>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</si>
  <si>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</si>
  <si>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</si>
  <si>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</si>
  <si>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</si>
  <si>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</si>
  <si>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</si>
  <si>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</si>
  <si>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</si>
  <si>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</si>
  <si>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</si>
  <si>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</si>
  <si>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</si>
  <si>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</si>
  <si>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</si>
  <si>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</si>
  <si>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</si>
  <si>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</si>
  <si>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</si>
  <si>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</si>
  <si>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</si>
  <si>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</si>
  <si>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</si>
  <si>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</si>
  <si>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</si>
  <si>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</si>
  <si>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</si>
  <si>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</si>
  <si>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</si>
  <si>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</si>
  <si>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</si>
  <si>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</si>
  <si>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</si>
  <si>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</si>
  <si>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</si>
  <si>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</si>
  <si>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</si>
  <si>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</si>
  <si>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</si>
  <si>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</si>
  <si>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</si>
  <si>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</si>
  <si>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</si>
  <si>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</si>
  <si>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</si>
  <si>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</si>
  <si>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</si>
  <si>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</si>
  <si>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</si>
  <si>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</si>
  <si>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</si>
  <si>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</si>
  <si>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</si>
  <si>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</si>
  <si>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</si>
  <si>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</si>
  <si>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</si>
  <si>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</si>
  <si>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</si>
  <si>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</si>
  <si>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</si>
  <si>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</si>
  <si>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</si>
  <si>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</si>
  <si>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</si>
  <si>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</si>
  <si>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</si>
  <si>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</si>
  <si>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</si>
  <si>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</si>
  <si>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</si>
  <si>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</si>
  <si>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</si>
  <si>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</si>
  <si>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</si>
  <si>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</si>
  <si>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</si>
  <si>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</si>
  <si>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</si>
  <si>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</si>
  <si>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</si>
  <si>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</si>
  <si>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</si>
  <si>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</si>
  <si>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</si>
  <si>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</si>
  <si>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</si>
  <si>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</si>
  <si>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</si>
  <si>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</si>
  <si>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</si>
  <si>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</si>
  <si>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</si>
  <si>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</si>
  <si>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</si>
  <si>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</si>
  <si>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</si>
  <si>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</si>
  <si>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</si>
  <si>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</si>
  <si>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</si>
  <si>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</si>
  <si>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</si>
  <si>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</si>
  <si>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</si>
  <si>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</si>
  <si>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</si>
  <si>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</si>
  <si>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</si>
  <si>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</si>
  <si>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</si>
  <si>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</si>
  <si>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</si>
  <si>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</si>
  <si>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</si>
  <si>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</si>
  <si>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</si>
  <si>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</si>
  <si>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</si>
  <si>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</si>
  <si>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</si>
  <si>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</si>
  <si>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</si>
  <si>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</si>
  <si>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</si>
  <si>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</si>
  <si>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</si>
  <si>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</si>
  <si>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</si>
  <si>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</si>
  <si>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</si>
  <si>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</si>
  <si>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</si>
  <si>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</si>
  <si>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</si>
  <si>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</si>
  <si>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</si>
  <si>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</si>
  <si>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</si>
  <si>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</si>
  <si>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</si>
  <si>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</si>
  <si>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</si>
  <si>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</si>
  <si>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</si>
  <si>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</si>
  <si>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</si>
  <si>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</si>
  <si>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</si>
  <si>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</si>
  <si>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</si>
  <si>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</si>
  <si>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</si>
  <si>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</si>
  <si>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</si>
  <si>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</si>
  <si>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</si>
  <si>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</si>
  <si>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</si>
  <si>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</si>
  <si>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</si>
  <si>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</si>
  <si>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</si>
  <si>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</si>
  <si>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</si>
  <si>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</si>
  <si>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</si>
  <si>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</si>
  <si>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</si>
  <si>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</si>
  <si>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</si>
  <si>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</si>
  <si>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</si>
  <si>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</si>
  <si>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</si>
  <si>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</si>
  <si>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</si>
  <si>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</si>
  <si>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</si>
  <si>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</si>
  <si>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</si>
  <si>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</si>
  <si>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</si>
  <si>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</si>
  <si>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</si>
  <si>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</si>
  <si>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</si>
  <si>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</si>
  <si>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</si>
  <si>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</si>
  <si>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</si>
  <si>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</si>
  <si>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</si>
  <si>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</si>
  <si>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</si>
  <si>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</si>
  <si>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</si>
  <si>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</si>
  <si>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</si>
  <si>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</si>
  <si>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</si>
  <si>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</si>
  <si>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</si>
  <si>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</si>
  <si>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</si>
  <si>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</si>
  <si>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</si>
  <si>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</si>
  <si>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</si>
  <si>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</si>
  <si>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</si>
  <si>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</si>
  <si>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</si>
  <si>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</si>
  <si>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</si>
  <si>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</si>
  <si>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</si>
  <si>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</si>
  <si>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</si>
  <si>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</si>
  <si>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</si>
  <si>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</si>
  <si>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</si>
  <si>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</si>
  <si>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</si>
  <si>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</si>
  <si>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</si>
  <si>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</si>
  <si>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</si>
  <si>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</si>
  <si>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</si>
  <si>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</si>
  <si>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</si>
  <si>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</si>
  <si>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</si>
  <si>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</si>
  <si>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</si>
  <si>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</si>
  <si>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</si>
  <si>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</si>
  <si>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</si>
  <si>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</si>
  <si>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</si>
  <si>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</si>
  <si>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</si>
  <si>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</si>
  <si>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</si>
  <si>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</si>
  <si>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</si>
  <si>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</si>
  <si>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</si>
  <si>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</si>
  <si>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</si>
  <si>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</si>
  <si>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</si>
  <si>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</si>
  <si>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</si>
  <si>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</si>
  <si>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</si>
  <si>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</si>
  <si>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</si>
  <si>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</si>
  <si>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</si>
  <si>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</si>
  <si>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</si>
  <si>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</si>
  <si>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</si>
  <si>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</si>
  <si>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</si>
  <si>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</si>
  <si>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</si>
  <si>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</si>
  <si>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</si>
  <si>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</si>
  <si>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</si>
  <si>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</si>
  <si>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</si>
  <si>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</si>
  <si>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</si>
  <si>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</si>
  <si>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</si>
  <si>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</si>
  <si>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</si>
  <si>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</si>
  <si>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</si>
  <si>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</si>
  <si>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</si>
  <si>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</si>
  <si>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</si>
  <si>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</si>
  <si>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</si>
  <si>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</si>
  <si>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</si>
  <si>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</si>
  <si>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</si>
  <si>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</si>
  <si>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</si>
  <si>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</si>
  <si>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</si>
  <si>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</si>
  <si>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</si>
  <si>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</si>
  <si>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</si>
  <si>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</si>
  <si>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</si>
  <si>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</si>
  <si>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</si>
  <si>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</si>
  <si>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</si>
  <si>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</si>
  <si>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</si>
  <si>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</si>
  <si>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</si>
  <si>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</si>
  <si>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</si>
  <si>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</si>
  <si>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</si>
  <si>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</si>
  <si>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</si>
  <si>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</si>
  <si>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</si>
  <si>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</si>
  <si>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</si>
  <si>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</si>
  <si>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</si>
  <si>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</si>
  <si>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</si>
  <si>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</si>
  <si>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</si>
  <si>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</si>
  <si>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</si>
  <si>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</si>
  <si>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</si>
  <si>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</si>
  <si>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</si>
  <si>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</si>
  <si>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</si>
  <si>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</si>
  <si>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</si>
  <si>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</si>
  <si>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</si>
  <si>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</si>
  <si>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</si>
  <si>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</si>
  <si>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</si>
  <si>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</si>
  <si>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</si>
  <si>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</si>
  <si>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</si>
  <si>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</si>
  <si>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</si>
  <si>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</si>
  <si>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</si>
  <si>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</si>
  <si>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</si>
  <si>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</si>
  <si>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</si>
  <si>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</si>
  <si>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</si>
  <si>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</si>
  <si>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</si>
  <si>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</si>
  <si>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</si>
  <si>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</si>
  <si>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</si>
  <si>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</si>
  <si>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</si>
  <si>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</si>
  <si>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</si>
  <si>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</si>
  <si>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</si>
  <si>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</si>
  <si>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</si>
  <si>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</si>
  <si>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</si>
  <si>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</si>
  <si>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</si>
  <si>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</si>
  <si>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</si>
  <si>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</si>
  <si>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</si>
  <si>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</si>
  <si>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</si>
  <si>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</si>
  <si>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</si>
  <si>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</si>
  <si>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</si>
  <si>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</si>
  <si>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</si>
  <si>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</si>
  <si>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</si>
  <si>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</si>
  <si>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</si>
  <si>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</si>
  <si>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</si>
  <si>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</si>
  <si>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</si>
  <si>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</si>
  <si>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</si>
  <si>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</si>
  <si>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</si>
  <si>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</si>
  <si>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</si>
  <si>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</si>
  <si>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</si>
  <si>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</si>
  <si>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</si>
  <si>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</si>
  <si>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</si>
  <si>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</si>
  <si>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</si>
  <si>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</si>
  <si>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</si>
  <si>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</si>
  <si>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</si>
  <si>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</si>
  <si>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</si>
  <si>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</si>
  <si>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</si>
  <si>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</si>
  <si>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</si>
  <si>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</si>
  <si>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</si>
  <si>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</si>
  <si>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</si>
  <si>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</si>
  <si>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</si>
  <si>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</si>
  <si>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</si>
  <si>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</si>
  <si>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</si>
  <si>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</si>
  <si>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</si>
  <si>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</si>
  <si>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</si>
  <si>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</si>
  <si>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</si>
  <si>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</si>
  <si>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</si>
  <si>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</si>
  <si>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</si>
  <si>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</si>
  <si>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</si>
  <si>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</si>
  <si>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</si>
  <si>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</si>
  <si>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</si>
  <si>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</si>
  <si>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</si>
  <si>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</si>
  <si>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</si>
  <si>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</si>
  <si>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</si>
  <si>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</si>
  <si>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</si>
  <si>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</si>
  <si>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</si>
  <si>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</si>
  <si>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</si>
  <si>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</si>
  <si>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</si>
  <si>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</si>
  <si>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</si>
  <si>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</si>
  <si>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</si>
  <si>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</si>
  <si>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</si>
  <si>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</si>
  <si>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</si>
  <si>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</si>
  <si>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</si>
  <si>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</si>
  <si>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</si>
  <si>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</si>
  <si>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</si>
  <si>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</si>
  <si>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</si>
  <si>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</si>
  <si>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</si>
  <si>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</si>
  <si>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</si>
  <si>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</si>
  <si>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</si>
  <si>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</si>
  <si>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</si>
  <si>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</si>
  <si>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</si>
  <si>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</si>
  <si>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</si>
  <si>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</si>
  <si>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</si>
  <si>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</si>
  <si>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</si>
  <si>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</si>
  <si>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</si>
  <si>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</si>
  <si>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</si>
  <si>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</si>
  <si>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</si>
  <si>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</si>
  <si>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</si>
  <si>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</si>
  <si>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</si>
  <si>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</si>
  <si>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</si>
  <si>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</si>
  <si>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</si>
  <si>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</si>
  <si>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</si>
  <si>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</si>
  <si>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</si>
  <si>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</si>
  <si>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</si>
  <si>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</si>
  <si>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</si>
  <si>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</si>
  <si>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</si>
  <si>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</si>
  <si>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</si>
  <si>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</si>
  <si>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</si>
  <si>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</si>
  <si>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</si>
  <si>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</si>
  <si>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</si>
  <si>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</si>
  <si>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</si>
  <si>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</si>
  <si>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</si>
  <si>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</si>
  <si>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</si>
  <si>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</si>
  <si>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</si>
  <si>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</si>
  <si>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</si>
  <si>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</si>
  <si>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</si>
  <si>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</si>
  <si>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</si>
  <si>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</si>
  <si>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</si>
  <si>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</si>
  <si>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</si>
  <si>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</si>
  <si>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</si>
  <si>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</si>
  <si>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</si>
  <si>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</si>
  <si>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</si>
  <si>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</si>
  <si>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</si>
  <si>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</si>
  <si>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</si>
  <si>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</si>
  <si>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</si>
  <si>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</si>
  <si>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</si>
  <si>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</si>
  <si>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</si>
  <si>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</si>
  <si>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</si>
  <si>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</si>
  <si>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</si>
  <si>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</si>
  <si>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</si>
  <si>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</si>
  <si>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</si>
  <si>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</si>
  <si>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</si>
  <si>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</si>
  <si>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</si>
  <si>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</si>
  <si>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</si>
  <si>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</si>
  <si>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</si>
  <si>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</si>
  <si>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</si>
  <si>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</si>
  <si>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</si>
  <si>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</si>
  <si>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</si>
  <si>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</si>
  <si>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</si>
  <si>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</si>
  <si>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</si>
  <si>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</si>
  <si>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</si>
  <si>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</si>
  <si>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</si>
  <si>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</si>
  <si>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</si>
  <si>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</si>
  <si>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</si>
  <si>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</si>
  <si>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</si>
  <si>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</si>
  <si>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</si>
  <si>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</si>
  <si>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</si>
  <si>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</si>
  <si>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</si>
  <si>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</si>
  <si>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</si>
  <si>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</si>
  <si>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</si>
  <si>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</si>
  <si>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</si>
  <si>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</si>
  <si>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</si>
  <si>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</si>
  <si>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</si>
  <si>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</si>
  <si>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</si>
  <si>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</si>
  <si>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</si>
  <si>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</si>
  <si>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</si>
  <si>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</si>
  <si>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</si>
  <si>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</si>
  <si>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</si>
  <si>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</si>
  <si>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</si>
  <si>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</si>
  <si>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</si>
  <si>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</si>
  <si>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</si>
  <si>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</si>
  <si>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</si>
  <si>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</si>
  <si>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</si>
  <si>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</si>
  <si>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</si>
  <si>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</si>
  <si>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</si>
  <si>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</si>
  <si>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</si>
  <si>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</si>
  <si>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</si>
  <si>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</si>
  <si>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</si>
  <si>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</si>
  <si>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</si>
  <si>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</si>
  <si>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</si>
  <si>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</si>
  <si>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</si>
  <si>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</si>
  <si>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</si>
  <si>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</si>
  <si>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</si>
  <si>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</si>
  <si>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</si>
  <si>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</si>
  <si>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</si>
  <si>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</si>
  <si>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</si>
  <si>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</si>
  <si>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</si>
  <si>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</si>
  <si>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</si>
  <si>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</si>
  <si>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</si>
  <si>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</si>
  <si>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</si>
  <si>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</si>
  <si>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</si>
  <si>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</si>
  <si>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</si>
  <si>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</si>
  <si>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</si>
  <si>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</si>
  <si>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</si>
  <si>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</si>
  <si>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</si>
  <si>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</si>
  <si>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</si>
  <si>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</si>
  <si>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</si>
  <si>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</si>
  <si>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</si>
  <si>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</si>
  <si>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</si>
  <si>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</si>
  <si>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</si>
  <si>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</si>
  <si>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</si>
  <si>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</si>
  <si>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</si>
  <si>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</si>
  <si>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</si>
  <si>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</si>
  <si>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</si>
  <si>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</si>
  <si>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</si>
  <si>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</si>
  <si>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</si>
  <si>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</si>
  <si>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</si>
  <si>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</si>
  <si>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</si>
  <si>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</si>
  <si>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</si>
  <si>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</si>
  <si>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</si>
  <si>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</si>
  <si>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</si>
  <si>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</si>
  <si>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</si>
  <si>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</si>
  <si>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</si>
  <si>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</si>
  <si>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</si>
  <si>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</si>
  <si>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</si>
  <si>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</si>
  <si>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</si>
  <si>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</si>
  <si>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</si>
  <si>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</si>
  <si>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</si>
  <si>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</si>
  <si>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</si>
  <si>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</si>
  <si>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</si>
  <si>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</si>
  <si>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</si>
  <si>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</si>
  <si>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</si>
  <si>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</si>
  <si>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</si>
  <si>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</si>
  <si>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</si>
  <si>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</si>
  <si>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</si>
  <si>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</si>
  <si>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</si>
  <si>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</si>
  <si>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</si>
  <si>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</si>
  <si>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</si>
  <si>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</si>
  <si>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</si>
  <si>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</si>
  <si>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</si>
  <si>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</si>
  <si>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</si>
  <si>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</si>
  <si>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</si>
  <si>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</si>
  <si>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</si>
  <si>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</si>
  <si>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</si>
  <si>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</si>
  <si>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</si>
  <si>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</si>
  <si>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</si>
  <si>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</si>
  <si>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</si>
  <si>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</si>
  <si>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</si>
  <si>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</si>
  <si>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</si>
  <si>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</si>
  <si>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</si>
  <si>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</si>
  <si>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</si>
  <si>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</si>
  <si>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</si>
  <si>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</si>
  <si>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</si>
  <si>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</si>
  <si>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</si>
  <si>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</si>
  <si>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</si>
  <si>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</si>
  <si>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</si>
  <si>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</si>
  <si>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</si>
  <si>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</si>
  <si>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</si>
  <si>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</si>
  <si>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</si>
  <si>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</si>
  <si>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</si>
  <si>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</si>
  <si>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</si>
  <si>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</si>
  <si>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</si>
  <si>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</si>
  <si>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</si>
  <si>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</si>
  <si>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</si>
  <si>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</si>
  <si>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</si>
  <si>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</si>
  <si>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</si>
  <si>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</si>
  <si>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</si>
  <si>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</si>
  <si>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</si>
  <si>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</si>
  <si>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</si>
  <si>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</si>
  <si>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</si>
  <si>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</si>
  <si>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</si>
  <si>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</si>
  <si>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</si>
  <si>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</si>
  <si>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</si>
  <si>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</si>
  <si>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</si>
  <si>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</si>
  <si>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</si>
  <si>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</si>
  <si>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</si>
  <si>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</si>
  <si>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</si>
  <si>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</si>
  <si>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</si>
  <si>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</si>
  <si>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</si>
  <si>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</si>
  <si>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</si>
  <si>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</si>
  <si>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</si>
  <si>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</si>
  <si>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</si>
  <si>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</si>
  <si>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</si>
  <si>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</si>
  <si>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</si>
  <si>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</si>
  <si>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</si>
  <si>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</si>
  <si>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</si>
  <si>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</si>
  <si>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</si>
  <si>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</si>
  <si>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</si>
  <si>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</si>
  <si>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</si>
  <si>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</si>
  <si>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</si>
  <si>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</si>
  <si>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</si>
  <si>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</si>
  <si>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</si>
  <si>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</si>
  <si>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</si>
  <si>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</si>
  <si>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</si>
  <si>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</si>
  <si>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</si>
  <si>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</si>
  <si>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</si>
  <si>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</si>
  <si>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</si>
  <si>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</si>
  <si>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</si>
  <si>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</si>
  <si>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</si>
  <si>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</si>
  <si>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</si>
  <si>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</si>
  <si>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</si>
  <si>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</si>
  <si>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</si>
  <si>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</si>
  <si>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</si>
  <si>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</si>
  <si>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</si>
  <si>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</si>
  <si>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</si>
  <si>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</si>
  <si>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</si>
  <si>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</si>
  <si>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</si>
  <si>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</si>
  <si>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</si>
  <si>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</si>
  <si>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</si>
  <si>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</si>
  <si>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</si>
  <si>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</si>
  <si>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</si>
  <si>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</si>
  <si>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</si>
  <si>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</si>
  <si>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</si>
  <si>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</si>
  <si>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</si>
  <si>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</si>
  <si>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</si>
  <si>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</si>
  <si>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</si>
  <si>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</si>
  <si>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</si>
  <si>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</si>
  <si>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</si>
  <si>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</si>
  <si>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</si>
  <si>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</si>
  <si>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</si>
  <si>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</si>
  <si>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</si>
  <si>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</si>
  <si>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</si>
  <si>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</si>
  <si>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</si>
  <si>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</si>
  <si>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</si>
  <si>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</si>
  <si>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</si>
  <si>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</si>
  <si>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</si>
  <si>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</si>
  <si>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</si>
  <si>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</si>
  <si>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</si>
  <si>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</si>
  <si>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</si>
  <si>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</si>
  <si>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</si>
  <si>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</si>
  <si>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</si>
  <si>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</si>
  <si>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</si>
  <si>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</si>
  <si>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</si>
  <si>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</si>
  <si>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</si>
  <si>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</si>
  <si>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</si>
  <si>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</si>
  <si>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</si>
  <si>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</si>
  <si>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</si>
  <si>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</si>
  <si>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</si>
  <si>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</si>
  <si>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</si>
  <si>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</si>
  <si>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</si>
  <si>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</si>
  <si>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</si>
  <si>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</si>
  <si>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</si>
  <si>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</si>
  <si>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</si>
  <si>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</si>
  <si>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</si>
  <si>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</si>
  <si>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</si>
  <si>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</si>
  <si>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</si>
  <si>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</si>
  <si>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</si>
  <si>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</si>
  <si>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</si>
  <si>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</si>
  <si>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</si>
  <si>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</si>
  <si>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</si>
  <si>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</si>
  <si>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</si>
  <si>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</si>
  <si>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</si>
  <si>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</si>
  <si>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</si>
  <si>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</si>
  <si>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</si>
  <si>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</si>
  <si>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</si>
  <si>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</si>
  <si>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</si>
  <si>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</si>
  <si>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</si>
  <si>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</si>
  <si>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</si>
  <si>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</si>
  <si>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</si>
  <si>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</si>
  <si>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</si>
  <si>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</si>
  <si>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</si>
  <si>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</si>
  <si>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</si>
  <si>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</si>
  <si>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</si>
  <si>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</si>
  <si>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</si>
  <si>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</si>
  <si>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</si>
  <si>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</si>
  <si>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</si>
  <si>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</si>
  <si>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</si>
  <si>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</si>
  <si>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</si>
  <si>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</si>
  <si>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</si>
  <si>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</si>
  <si>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</si>
  <si>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</si>
  <si>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</si>
  <si>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</si>
  <si>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</si>
  <si>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</si>
  <si>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</si>
  <si>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</si>
  <si>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</si>
  <si>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</si>
  <si>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</si>
  <si>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</si>
  <si>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</si>
  <si>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</si>
  <si>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</si>
  <si>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</si>
  <si>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</si>
  <si>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</si>
  <si>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</si>
  <si>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</si>
  <si>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</si>
  <si>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</si>
  <si>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</si>
  <si>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</si>
  <si>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</si>
  <si>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</si>
  <si>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</si>
  <si>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</si>
  <si>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</si>
  <si>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</si>
  <si>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</si>
  <si>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</si>
  <si>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</si>
  <si>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</si>
  <si>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</si>
  <si>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</si>
  <si>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</si>
  <si>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</si>
  <si>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</si>
  <si>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</si>
  <si>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</si>
  <si>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</si>
  <si>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</si>
  <si>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</si>
  <si>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</si>
  <si>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</si>
  <si>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</si>
  <si>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</si>
  <si>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</si>
  <si>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</si>
  <si>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</si>
  <si>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</si>
  <si>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</si>
  <si>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</si>
  <si>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</si>
  <si>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</si>
  <si>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</si>
  <si>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</si>
  <si>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</si>
  <si>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</si>
  <si>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</si>
  <si>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</si>
  <si>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</si>
  <si>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</si>
  <si>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</si>
  <si>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</si>
  <si>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</si>
  <si>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</si>
  <si>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</si>
  <si>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</si>
  <si>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</si>
  <si>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</si>
  <si>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</si>
  <si>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</si>
  <si>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</si>
  <si>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</si>
  <si>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</si>
  <si>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</si>
  <si>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</si>
  <si>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</si>
  <si>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</si>
  <si>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</si>
  <si>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</si>
  <si>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</si>
  <si>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</si>
  <si>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</si>
  <si>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</si>
  <si>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</si>
  <si>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</si>
  <si>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</si>
  <si>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</si>
  <si>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</si>
  <si>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</si>
  <si>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</si>
  <si>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</si>
  <si>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</si>
  <si>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</si>
  <si>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</si>
  <si>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</si>
  <si>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</si>
  <si>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</si>
  <si>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</si>
  <si>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</si>
  <si>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</si>
  <si>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</si>
  <si>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</si>
  <si>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</si>
  <si>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</si>
  <si>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</si>
  <si>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</si>
  <si>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</si>
  <si>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</si>
  <si>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</si>
  <si>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</si>
  <si>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</si>
  <si>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</si>
  <si>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</si>
  <si>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</si>
  <si>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</si>
  <si>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</si>
  <si>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</si>
  <si>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</si>
  <si>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</si>
  <si>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</si>
  <si>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</si>
  <si>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</si>
  <si>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</si>
  <si>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</si>
  <si>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</si>
  <si>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</si>
  <si>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</si>
  <si>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</si>
  <si>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</si>
  <si>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</si>
  <si>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</si>
  <si>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</si>
  <si>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</si>
  <si>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</si>
  <si>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</si>
  <si>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</si>
  <si>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</si>
  <si>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</si>
  <si>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</si>
  <si>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</si>
  <si>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</si>
  <si>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</si>
  <si>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</si>
  <si>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</si>
  <si>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</si>
  <si>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</si>
  <si>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</si>
  <si>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</si>
  <si>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</si>
  <si>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</si>
  <si>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</si>
  <si>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</si>
  <si>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</si>
  <si>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</si>
  <si>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</si>
  <si>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</si>
  <si>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</si>
  <si>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</si>
  <si>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</si>
  <si>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</si>
  <si>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</si>
  <si>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</si>
  <si>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</si>
  <si>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</si>
  <si>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</si>
  <si>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</si>
  <si>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</si>
  <si>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</si>
  <si>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</si>
  <si>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</si>
  <si>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</si>
  <si>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</si>
  <si>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</si>
  <si>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</si>
  <si>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</si>
  <si>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</si>
  <si>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</si>
  <si>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</si>
  <si>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</si>
  <si>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</si>
  <si>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</si>
  <si>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</si>
  <si>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</si>
  <si>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</si>
  <si>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</si>
  <si>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</si>
  <si>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</si>
  <si>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</si>
  <si>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</si>
  <si>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</si>
  <si>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</si>
  <si>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</si>
  <si>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</si>
  <si>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</si>
  <si>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</si>
  <si>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</si>
  <si>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</si>
  <si>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</si>
  <si>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</si>
  <si>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</si>
  <si>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</si>
  <si>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</si>
  <si>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</si>
  <si>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</si>
  <si>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</si>
  <si>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</si>
  <si>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</si>
  <si>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</si>
  <si>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</si>
  <si>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</si>
  <si>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</si>
  <si>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</si>
  <si>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</si>
  <si>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</si>
  <si>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</si>
  <si>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</si>
  <si>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</si>
  <si>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</si>
  <si>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</si>
  <si>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</si>
  <si>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</si>
  <si>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</si>
  <si>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</si>
  <si>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</si>
  <si>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</si>
  <si>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</si>
  <si>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</si>
  <si>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</si>
  <si>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</si>
  <si>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</si>
  <si>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</si>
  <si>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</si>
  <si>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</si>
  <si>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</si>
  <si>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</si>
  <si>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</si>
  <si>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</si>
  <si>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</si>
  <si>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</si>
  <si>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</si>
  <si>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</si>
  <si>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</si>
  <si>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</si>
  <si>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</si>
  <si>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</si>
  <si>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</si>
  <si>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</si>
  <si>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</si>
  <si>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</si>
  <si>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</si>
  <si>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</si>
  <si>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</si>
  <si>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</si>
  <si>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</si>
  <si>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</si>
  <si>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</si>
  <si>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</si>
  <si>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</si>
  <si>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</si>
  <si>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</si>
  <si>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</si>
  <si>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</si>
  <si>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</si>
  <si>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</si>
  <si>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</si>
  <si>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</si>
  <si>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</si>
  <si>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</si>
  <si>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</si>
  <si>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</si>
  <si>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</si>
  <si>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</si>
  <si>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</si>
  <si>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</si>
  <si>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</si>
  <si>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</si>
  <si>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</si>
  <si>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</si>
  <si>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</si>
  <si>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</si>
  <si>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</si>
  <si>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</si>
  <si>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</si>
  <si>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</si>
  <si>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</si>
  <si>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</si>
  <si>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</si>
  <si>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</si>
  <si>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</si>
  <si>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</si>
  <si>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</si>
  <si>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</si>
  <si>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</si>
  <si>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</si>
  <si>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</si>
  <si>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</si>
  <si>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</si>
  <si>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</si>
  <si>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</si>
  <si>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</si>
  <si>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</si>
  <si>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</si>
  <si>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</si>
  <si>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</si>
  <si>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</si>
  <si>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</si>
  <si>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</si>
  <si>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</si>
  <si>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</si>
  <si>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</si>
  <si>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</si>
  <si>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</si>
  <si>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</si>
  <si>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</si>
  <si>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</si>
  <si>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</si>
  <si>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</si>
  <si>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</si>
  <si>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</si>
  <si>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</si>
  <si>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</si>
  <si>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</si>
  <si>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</si>
  <si>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</si>
  <si>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</si>
  <si>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</si>
  <si>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</si>
  <si>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</si>
  <si>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</si>
  <si>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</si>
  <si>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</si>
  <si>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</si>
  <si>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</si>
  <si>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</si>
  <si>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</si>
  <si>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</si>
  <si>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</si>
  <si>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</si>
  <si>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</si>
  <si>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</si>
  <si>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</si>
  <si>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</si>
  <si>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</si>
  <si>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</si>
  <si>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</si>
  <si>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</si>
  <si>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</si>
  <si>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</si>
  <si>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</si>
  <si>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</si>
  <si>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</si>
  <si>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</si>
  <si>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</si>
  <si>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</si>
  <si>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</si>
  <si>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</si>
  <si>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</si>
  <si>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</si>
  <si>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</si>
  <si>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</si>
  <si>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</si>
  <si>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</si>
  <si>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</si>
  <si>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</si>
  <si>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</si>
  <si>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</si>
  <si>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</si>
  <si>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</si>
  <si>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</si>
  <si>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</si>
  <si>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</si>
  <si>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</si>
  <si>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</si>
  <si>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</si>
  <si>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</si>
  <si>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</si>
  <si>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</si>
  <si>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</si>
  <si>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</si>
  <si>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</si>
  <si>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</si>
  <si>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</si>
  <si>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</si>
  <si>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</si>
  <si>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</si>
  <si>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</si>
  <si>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</si>
  <si>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</si>
  <si>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</si>
  <si>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</si>
  <si>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</si>
  <si>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</si>
  <si>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</si>
  <si>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</si>
  <si>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</si>
  <si>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</si>
  <si>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</si>
  <si>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</si>
  <si>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</si>
  <si>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</si>
  <si>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</si>
  <si>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</si>
  <si>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</si>
  <si>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</si>
  <si>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</si>
  <si>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</si>
  <si>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</si>
  <si>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</si>
  <si>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</si>
  <si>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</si>
  <si>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</si>
  <si>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</si>
  <si>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</si>
  <si>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</si>
  <si>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</si>
  <si>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</si>
  <si>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</si>
  <si>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</si>
  <si>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</si>
  <si>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</si>
  <si>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</si>
  <si>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</si>
  <si>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</si>
  <si>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</si>
  <si>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</si>
  <si>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</si>
  <si>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</si>
  <si>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</si>
  <si>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</si>
  <si>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</si>
  <si>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</si>
  <si>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</si>
  <si>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</si>
  <si>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</si>
  <si>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</si>
  <si>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</si>
  <si>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</si>
  <si>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</si>
  <si>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</si>
  <si>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</si>
  <si>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</si>
  <si>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</si>
  <si>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</si>
  <si>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</si>
  <si>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</si>
  <si>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</si>
  <si>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</si>
  <si>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</si>
  <si>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</si>
  <si>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</si>
  <si>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</si>
  <si>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</si>
  <si>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</si>
  <si>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</si>
  <si>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</si>
  <si>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</si>
  <si>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</si>
  <si>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</si>
  <si>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</si>
  <si>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</si>
  <si>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</si>
  <si>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</si>
  <si>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</si>
  <si>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</si>
  <si>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</si>
  <si>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</si>
  <si>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</si>
  <si>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</si>
  <si>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</si>
  <si>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</si>
  <si>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</si>
  <si>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</si>
  <si>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</si>
  <si>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</si>
  <si>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</si>
  <si>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</si>
  <si>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</si>
  <si>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</si>
  <si>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</si>
  <si>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</si>
  <si>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</si>
  <si>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</si>
  <si>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</si>
  <si>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</si>
  <si>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</si>
  <si>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</si>
  <si>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</si>
  <si>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</si>
  <si>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</si>
  <si>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</si>
  <si>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</si>
  <si>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</si>
  <si>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</si>
  <si>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</si>
  <si>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</si>
  <si>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</si>
  <si>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</si>
  <si>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</si>
  <si>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</si>
  <si>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</si>
  <si>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</si>
  <si>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</si>
  <si>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</si>
  <si>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</si>
  <si>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</si>
  <si>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</si>
  <si>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</si>
  <si>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</si>
  <si>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</si>
  <si>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</si>
  <si>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</si>
  <si>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</si>
  <si>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</si>
  <si>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</si>
  <si>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</si>
  <si>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</si>
  <si>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</si>
  <si>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</si>
  <si>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</si>
  <si>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</si>
  <si>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</si>
  <si>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</si>
  <si>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</si>
  <si>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</si>
  <si>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</si>
  <si>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</si>
  <si>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</si>
  <si>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</si>
  <si>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</si>
  <si>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</si>
  <si>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</si>
  <si>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</si>
  <si>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</si>
  <si>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</si>
  <si>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</si>
  <si>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</si>
  <si>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</si>
  <si>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</si>
  <si>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</si>
  <si>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JOYCE LAMBERT, JULIEN FLORENTIN</t>
  </si>
  <si>
    <t xml:space="preserve">ARGENS</t>
  </si>
  <si>
    <t xml:space="preserve">ARGENS A CHATEAUVERT 2</t>
  </si>
  <si>
    <t xml:space="preserve">06202750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</si>
  <si>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</si>
  <si>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</si>
  <si>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</si>
  <si>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</si>
  <si>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</si>
  <si>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</si>
  <si>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</si>
  <si>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</si>
  <si>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</si>
  <si>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pl. lent</t>
  </si>
  <si>
    <t xml:space="preserve">niveau trophique</t>
  </si>
  <si>
    <t xml:space="preserve">faible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</si>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</sst>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8.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_rels/drawing2.xml.rels><?xml version="1.0" encoding="UTF-8"?>
<Relationships xmlns="http://schemas.openxmlformats.org/package/2006/relationships"><Relationship Id="rId1" Type="http://schemas.openxmlformats.org/officeDocument/2006/relationships/image" Target="../media/image3.wmf"/><Relationship Id="rId2" Type="http://schemas.openxmlformats.org/officeDocument/2006/relationships/image" Target="../media/image4.wm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8"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xdr:twoCellAnchor editAs="absolute">
    <xdr:from>
      <xdr:col>5</xdr:col>
      <xdr:colOff>0</xdr:colOff>
      <xdr:row>0</xdr:row>
      <xdr:rowOff>95400</xdr:rowOff>
    </xdr:from>
    <xdr:to>
      <xdr:col>6</xdr:col>
      <xdr:colOff>398520</xdr:colOff>
      <xdr:row>1</xdr:row>
      <xdr:rowOff>94680</xdr:rowOff>
    </xdr:to>
    <xdr:pic>
      <xdr:nvPicPr>
        <xdr:cNvPr id="6" name="Liste_IBMR" descr=""/>
        <xdr:cNvPicPr/>
      </xdr:nvPicPr>
      <xdr:blipFill>
        <a:blip r:embed="rId1"/>
        <a:stretch/>
      </xdr:blipFill>
      <xdr:spPr>
        <a:xfrm>
          <a:off x="5360760" y="95400"/>
          <a:ext cx="874080" cy="227880"/>
        </a:xfrm>
        <a:prstGeom prst="rect">
          <a:avLst/>
        </a:prstGeom>
        <a:ln w="0">
          <a:noFill/>
        </a:ln>
      </xdr:spPr>
    </xdr:pic>
    <xdr:clientData/>
  </xdr:twoCellAnchor>
  <xdr:twoCellAnchor editAs="absolute">
    <xdr:from>
      <xdr:col>5</xdr:col>
      <xdr:colOff>0</xdr:colOff>
      <xdr:row>1</xdr:row>
      <xdr:rowOff>104760</xdr:rowOff>
    </xdr:from>
    <xdr:to>
      <xdr:col>6</xdr:col>
      <xdr:colOff>398520</xdr:colOff>
      <xdr:row>2</xdr:row>
      <xdr:rowOff>132840</xdr:rowOff>
    </xdr:to>
    <xdr:pic>
      <xdr:nvPicPr>
        <xdr:cNvPr id="7" name="Liste_totale" descr=""/>
        <xdr:cNvPicPr/>
      </xdr:nvPicPr>
      <xdr:blipFill>
        <a:blip r:embed="rId2"/>
        <a:stretch/>
      </xdr:blipFill>
      <xdr:spPr>
        <a:xfrm>
          <a:off x="5360760" y="333360"/>
          <a:ext cx="874080" cy="218520"/>
        </a:xfrm>
        <a:prstGeom prst="rect">
          <a:avLst/>
        </a:prstGeom>
        <a:ln w="0">
          <a:noFill/>
        </a:ln>
      </xdr:spPr>
    </xdr:pic>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9"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0.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10"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
</Relationships>
</file>

<file path=xl/worksheets/_rels/sheet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2.vml"/><Relationship Id="rId3" Type="http://schemas.openxmlformats.org/officeDocument/2006/relationships/ctrlProp" Target="../ctrlProps/ctrlProps11.xml"/><Relationship Id="rId4" Type="http://schemas.openxmlformats.org/officeDocument/2006/relationships/ctrlProp" Target="../ctrlProps/ctrlProps12.xml"/><Relationship Id="rId5" Type="http://schemas.openxmlformats.org/officeDocument/2006/relationships/ctrlProp" Target="../ctrlProps/ctrlProps13.xml"/><Relationship Id="rId6" Type="http://schemas.openxmlformats.org/officeDocument/2006/relationships/ctrlProp" Target="../ctrlProps/ctrlProps14.xml"/>
</Relationships>
</file>

<file path=xl/worksheets/_rels/sheet4.xml.rels><?xml version="1.0" encoding="UTF-8"?>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3.vml"/><Relationship Id="rId3" Type="http://schemas.openxmlformats.org/officeDocument/2006/relationships/ctrlProp" Target="../ctrlProps/ctrlProps16.xml"/><Relationship Id="rId4" Type="http://schemas.openxmlformats.org/officeDocument/2006/relationships/ctrlProp" Target="../ctrlProps/ctrlProps17.xml"/><Relationship Id="rId5" Type="http://schemas.openxmlformats.org/officeDocument/2006/relationships/ctrlProp" Target="../ctrlProps/ctrlProps18.xml"/><Relationship Id="rId6" Type="http://schemas.openxmlformats.org/officeDocument/2006/relationships/ctrlProp" Target="../ctrlProps/ctrlProps19.xml"/>
</Relationships>
</file>

<file path=xl/worksheets/_rels/sheet5.xml.rels><?xml version="1.0" encoding="UTF-8"?>
<Relationships xmlns="http://schemas.openxmlformats.org/package/2006/relationships"><Relationship Id="rId1" Type="http://schemas.openxmlformats.org/officeDocument/2006/relationships/drawing" Target="../drawings/drawing20.xml"/><Relationship Id="rId2" Type="http://schemas.openxmlformats.org/officeDocument/2006/relationships/vmlDrawing" Target="../drawings/vmlDrawing4.vml"/><Relationship Id="rId3" Type="http://schemas.openxmlformats.org/officeDocument/2006/relationships/ctrlProp" Target="../ctrlProps/ctrlProps21.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2.xml"/><Relationship Id="rId3" Type="http://schemas.openxmlformats.org/officeDocument/2006/relationships/vmlDrawing" Target="../drawings/vmlDrawing5.vml"/><Relationship Id="rId4" Type="http://schemas.openxmlformats.org/officeDocument/2006/relationships/ctrlProp" Target="../ctrlProps/ctrlProps23.xml"/><Relationship Id="rId5" Type="http://schemas.openxmlformats.org/officeDocument/2006/relationships/ctrlProp" Target="../ctrlProps/ctrlProps24.xml"/><Relationship Id="rId6" Type="http://schemas.openxmlformats.org/officeDocument/2006/relationships/ctrlProp" Target="../ctrlProps/ctrlProps25.xml"/><Relationship Id="rId7" Type="http://schemas.openxmlformats.org/officeDocument/2006/relationships/ctrlProp" Target="../ctrlProps/ctrlProps26.xml"/><Relationship Id="rId8" Type="http://schemas.openxmlformats.org/officeDocument/2006/relationships/ctrlProp" Target="../ctrlProps/ctrlProps27.xml"/><Relationship Id="rId9" Type="http://schemas.openxmlformats.org/officeDocument/2006/relationships/ctrlProp" Target="../ctrlProps/ctrlProps28.xml"/><Relationship Id="rId10" Type="http://schemas.openxmlformats.org/officeDocument/2006/relationships/ctrlProp" Target="../ctrlProps/ctrlProps29.xml"/><Relationship Id="rId11" Type="http://schemas.openxmlformats.org/officeDocument/2006/relationships/ctrlProp" Target="../ctrlProps/ctrlProps30.xml"/><Relationship Id="rId12" Type="http://schemas.openxmlformats.org/officeDocument/2006/relationships/ctrlProp" Target="../ctrlProps/ctrlProps31.xml"/><Relationship Id="rId13" Type="http://schemas.openxmlformats.org/officeDocument/2006/relationships/ctrlProp" Target="../ctrlProps/ctrlProps32.xml"/><Relationship Id="rId14" Type="http://schemas.openxmlformats.org/officeDocument/2006/relationships/ctrlProp" Target="../ctrlProps/ctrlProps33.xml"/><Relationship Id="rId15" Type="http://schemas.openxmlformats.org/officeDocument/2006/relationships/ctrlProp" Target="../ctrlProps/ctrlProps34.xml"/><Relationship Id="rId16" Type="http://schemas.openxmlformats.org/officeDocument/2006/relationships/ctrlProp" Target="../ctrlProps/ctrlProps35.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6.xml"/><Relationship Id="rId3" Type="http://schemas.openxmlformats.org/officeDocument/2006/relationships/vmlDrawing" Target="../drawings/vmlDrawing6.vml"/><Relationship Id="rId4" Type="http://schemas.openxmlformats.org/officeDocument/2006/relationships/ctrlProp" Target="../ctrlProps/ctrlProps37.xml"/><Relationship Id="rId5" Type="http://schemas.openxmlformats.org/officeDocument/2006/relationships/ctrlProp" Target="../ctrlProps/ctrlProps38.xml"/><Relationship Id="rId6" Type="http://schemas.openxmlformats.org/officeDocument/2006/relationships/ctrlProp" Target="../ctrlProps/ctrlProps39.xml"/><Relationship Id="rId7" Type="http://schemas.openxmlformats.org/officeDocument/2006/relationships/ctrlProp" Target="../ctrlProps/ctrlProps40.xml"/><Relationship Id="rId8" Type="http://schemas.openxmlformats.org/officeDocument/2006/relationships/ctrlProp" Target="../ctrlProps/ctrlProps41.xml"/><Relationship Id="rId9" Type="http://schemas.openxmlformats.org/officeDocument/2006/relationships/ctrlProp" Target="../ctrlProps/ctrlProps42.xml"/><Relationship Id="rId10" Type="http://schemas.openxmlformats.org/officeDocument/2006/relationships/ctrlProp" Target="../ctrlProps/ctrlProps43.xml"/><Relationship Id="rId11" Type="http://schemas.openxmlformats.org/officeDocument/2006/relationships/ctrlProp" Target="../ctrlProps/ctrlProps44.xml"/><Relationship Id="rId12" Type="http://schemas.openxmlformats.org/officeDocument/2006/relationships/ctrlProp" Target="../ctrlProps/ctrlProps45.xml"/><Relationship Id="rId13" Type="http://schemas.openxmlformats.org/officeDocument/2006/relationships/ctrlProp" Target="../ctrlProps/ctrlProps46.xml"/><Relationship Id="rId14" Type="http://schemas.openxmlformats.org/officeDocument/2006/relationships/ctrlProp" Target="../ctrlProps/ctrlProps47.xml"/><Relationship Id="rId15" Type="http://schemas.openxmlformats.org/officeDocument/2006/relationships/ctrlProp" Target="../ctrlProps/ctrlProps48.xml"/><Relationship Id="rId16" Type="http://schemas.openxmlformats.org/officeDocument/2006/relationships/ctrlProp" Target="../ctrlProps/ctrlProps49.xml"/>
</Relationships>
</file>

<file path=xl/worksheets/_rels/sheet8.xml.rels><?xml version="1.0" encoding="UTF-8"?>
<Relationships xmlns="http://schemas.openxmlformats.org/package/2006/relationships"><Relationship Id="rId1" Type="http://schemas.openxmlformats.org/officeDocument/2006/relationships/drawing" Target="../drawings/drawing5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42972</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12.6315789473684</v>
      </c>
      <c r="N5" s="324"/>
      <c r="O5" s="325" t="s">
        <v>448</v>
      </c>
      <c r="P5" s="326" t="n">
        <v>11.5384615384615</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3393</v>
      </c>
      <c r="Q6" s="339"/>
      <c r="R6" s="281"/>
      <c r="S6" s="281"/>
      <c r="T6" s="281"/>
      <c r="U6" s="281"/>
      <c r="V6" s="281"/>
      <c r="W6" s="295"/>
      <c r="X6" s="0"/>
      <c r="Y6" s="0"/>
      <c r="Z6" s="0"/>
    </row>
    <row r="7" customFormat="false" ht="12.75" hidden="false" customHeight="false" outlineLevel="0" collapsed="false">
      <c r="A7" s="340" t="s">
        <v>3394</v>
      </c>
      <c r="B7" s="341" t="n">
        <v>72</v>
      </c>
      <c r="C7" s="342" t="n">
        <v>28</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11.1111111111111</v>
      </c>
      <c r="P8" s="356" t="n">
        <f aca="false">IF(ISERROR(AVERAGE(K23:K82)),"  ",AVERAGE(K23:K82))</f>
        <v>1.66666666666667</v>
      </c>
      <c r="Q8" s="357"/>
      <c r="R8" s="281"/>
      <c r="S8" s="281"/>
      <c r="T8" s="281"/>
      <c r="U8" s="281"/>
      <c r="V8" s="281"/>
      <c r="W8" s="295"/>
      <c r="X8" s="0"/>
      <c r="Y8" s="0"/>
      <c r="Z8" s="0"/>
    </row>
    <row r="9" customFormat="false" ht="12.75" hidden="false" customHeight="false" outlineLevel="0" collapsed="false">
      <c r="A9" s="314" t="s">
        <v>3400</v>
      </c>
      <c r="B9" s="358" t="n">
        <v>1.7</v>
      </c>
      <c r="C9" s="359" t="n">
        <v>4</v>
      </c>
      <c r="D9" s="360"/>
      <c r="E9" s="360"/>
      <c r="F9" s="361" t="n">
        <f aca="false">($B9*$B$7+$C9*$C$7)/100</f>
        <v>2.344</v>
      </c>
      <c r="G9" s="362"/>
      <c r="H9" s="317"/>
      <c r="I9" s="281"/>
      <c r="J9" s="363"/>
      <c r="K9" s="364"/>
      <c r="L9" s="347"/>
      <c r="M9" s="365"/>
      <c r="N9" s="355" t="s">
        <v>3401</v>
      </c>
      <c r="O9" s="356" t="n">
        <f aca="false">IF(ISERROR(STDEVP(J23:J82))," ",STDEVP(J23:J82))</f>
        <v>3.95655418105886</v>
      </c>
      <c r="P9" s="356" t="n">
        <f aca="false">IF(ISERROR(STDEVP(K23:K82)),"  ",STDEVP(K23:K82))</f>
        <v>0.471404520791032</v>
      </c>
      <c r="Q9" s="357"/>
      <c r="R9" s="281"/>
      <c r="S9" s="281"/>
      <c r="T9" s="281"/>
      <c r="U9" s="281"/>
      <c r="V9" s="281"/>
      <c r="W9" s="295"/>
      <c r="X9" s="0"/>
      <c r="Y9" s="0"/>
      <c r="Z9" s="0"/>
    </row>
    <row r="10" customFormat="false" ht="12.75" hidden="false" customHeight="false" outlineLevel="0" collapsed="false">
      <c r="A10" s="314" t="s">
        <v>3402</v>
      </c>
      <c r="B10" s="366" t="s">
        <v>3403</v>
      </c>
      <c r="C10" s="367" t="s">
        <v>3403</v>
      </c>
      <c r="D10" s="360"/>
      <c r="E10" s="360"/>
      <c r="F10" s="361"/>
      <c r="G10" s="362"/>
      <c r="H10" s="330"/>
      <c r="I10" s="281"/>
      <c r="J10" s="368"/>
      <c r="K10" s="369" t="s">
        <v>3404</v>
      </c>
      <c r="L10" s="370"/>
      <c r="M10" s="371"/>
      <c r="N10" s="355" t="s">
        <v>3405</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16</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6</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2</v>
      </c>
      <c r="M13" s="381"/>
      <c r="N13" s="389" t="s">
        <v>3413</v>
      </c>
      <c r="O13" s="390" t="n">
        <f aca="false">COUNTIF(F23:F82,"&gt;0")</f>
        <v>9</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9</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1</v>
      </c>
      <c r="M15" s="381"/>
      <c r="N15" s="389" t="s">
        <v>3419</v>
      </c>
      <c r="O15" s="390" t="n">
        <f aca="false">COUNTIF(K23:K82,"=1")</f>
        <v>3</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6</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1</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1.72</v>
      </c>
      <c r="C20" s="433" t="n">
        <f aca="false">SUM(C23:C82)</f>
        <v>4.03</v>
      </c>
      <c r="D20" s="434"/>
      <c r="E20" s="435" t="s">
        <v>3426</v>
      </c>
      <c r="F20" s="436" t="n">
        <f aca="false">($B20*$B$7+$C20*$C$7)/100</f>
        <v>2.3668</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1.2384</v>
      </c>
      <c r="C21" s="444" t="n">
        <f aca="false">C20*C7/100</f>
        <v>1.1284</v>
      </c>
      <c r="D21" s="445" t="s">
        <v>3429</v>
      </c>
      <c r="E21" s="446"/>
      <c r="F21" s="447" t="n">
        <f aca="false">B21+C21</f>
        <v>2.3668</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53</v>
      </c>
      <c r="B23" s="472" t="n">
        <v>0.05</v>
      </c>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n">
        <f aca="false">IF(AND(OR(A23="",A23="!!!!!!"),B23="",C23=""),"",IF(OR(AND(B23="",C23=""),ISERROR(C23+B23)),"!!!",($B23*$B$7+$C23*$C$7)/100))</f>
        <v>0.036</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0.036</v>
      </c>
      <c r="S23" s="485" t="n">
        <f aca="false">IF(OR(ISTEXT(H23),R23=0),"",IF(R23&lt;0.1,1,IF(R23&lt;1,2,IF(R23&lt;10,3,IF(R23&lt;50,4,IF(R23&gt;=50,5,""))))))</f>
        <v>1</v>
      </c>
      <c r="T23" s="485" t="n">
        <f aca="false">IF(ISERROR(S23*J23),0,S23*J23)</f>
        <v>13</v>
      </c>
      <c r="U23" s="485" t="n">
        <f aca="false">IF(ISERROR(S23*J23*K23),0,S23*J23*K23)</f>
        <v>26</v>
      </c>
      <c r="V23" s="485" t="n">
        <f aca="false">IF(ISERROR(S23*K23),0,S23*K23)</f>
        <v>2</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t="s">
        <v>65</v>
      </c>
      <c r="B24" s="490" t="n">
        <v>0.01</v>
      </c>
      <c r="C24" s="491"/>
      <c r="D24" s="492" t="str">
        <f aca="false">IF(ISERROR(VLOOKUP($A24,'liste reference'!$A$6:$B$1174,2,0)),IF(ISERROR(VLOOKUP($A24,'liste reference'!$B$6:$B$1174,1,0)),"",VLOOKUP($A24,'liste reference'!$B$6:$B$1174,1,0)),VLOOKUP($A24,'liste reference'!$A$6:$B$1174,2,0))</f>
        <v>Batrachospermum sp.</v>
      </c>
      <c r="E24" s="493" t="e">
        <f aca="false">IF(D24="",0,VLOOKUP(D24,D$22:D23,1,0))</f>
        <v>#N/A</v>
      </c>
      <c r="F24" s="494" t="n">
        <f aca="false">IF(AND(OR(A24="",A24="!!!!!!"),B24="",C24=""),"",IF(OR(AND(B24="",C24=""),ISERROR(C24+B24)),"!!!",($B24*$B$7+$C24*$C$7)/100))</f>
        <v>0.0072</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16</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Batrachospermum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1155</v>
      </c>
      <c r="R24" s="484" t="n">
        <f aca="false">IF(ISTEXT(H24),"",(B24*$B$7/100)+(C24*$C$7/100))</f>
        <v>0.0072</v>
      </c>
      <c r="S24" s="485" t="n">
        <f aca="false">IF(OR(ISTEXT(H24),R24=0),"",IF(R24&lt;0.1,1,IF(R24&lt;1,2,IF(R24&lt;10,3,IF(R24&lt;50,4,IF(R24&gt;=50,5,""))))))</f>
        <v>1</v>
      </c>
      <c r="T24" s="485" t="n">
        <f aca="false">IF(ISERROR(S24*J24),0,S24*J24)</f>
        <v>16</v>
      </c>
      <c r="U24" s="485" t="n">
        <f aca="false">IF(ISERROR(S24*J24*K24),0,S24*J24*K24)</f>
        <v>32</v>
      </c>
      <c r="V24" s="501" t="n">
        <f aca="false">IF(ISERROR(S24*K24),0,S24*K24)</f>
        <v>2</v>
      </c>
      <c r="W24" s="502"/>
      <c r="X24" s="503"/>
      <c r="Y24" s="488" t="str">
        <f aca="false">IF(AND(ISNUMBER(F24),OR(A24="",A24="!!!!!!")),"!!!!!!",IF(A24="new.cod","NEWCOD",IF(AND((Z24=""),ISTEXT(A24),A24&lt;&gt;"!!!!!!"),A24,IF(Z24="","",INDEX('liste reference'!$A$6:$A$1174,Z24)))))</f>
        <v>BATSPX</v>
      </c>
      <c r="Z24" s="470" t="n">
        <f aca="false">IF(ISERROR(MATCH(A24,'liste reference'!$A$6:$A$1174,0)),IF(ISERROR(MATCH(A24,'liste reference'!$B$6:$B$1174,0)),"",(MATCH(A24,'liste reference'!$B$6:$B$1174,0))),(MATCH(A24,'liste reference'!$A$6:$A$1174,0)))</f>
        <v>10</v>
      </c>
    </row>
    <row r="25" customFormat="false" ht="12.75" hidden="false" customHeight="false" outlineLevel="0" collapsed="false">
      <c r="A25" s="489" t="s">
        <v>134</v>
      </c>
      <c r="B25" s="490" t="n">
        <v>0.07</v>
      </c>
      <c r="C25" s="491"/>
      <c r="D25" s="492" t="str">
        <f aca="false">IF(ISERROR(VLOOKUP($A25,'liste reference'!$A$6:$B$1174,2,0)),IF(ISERROR(VLOOKUP($A25,'liste reference'!$B$6:$B$1174,1,0)),"",VLOOKUP($A25,'liste reference'!$B$6:$B$1174,1,0)),VLOOKUP($A25,'liste reference'!$A$6:$B$1174,2,0))</f>
        <v>Cladophora sp.</v>
      </c>
      <c r="E25" s="493" t="e">
        <f aca="false">IF(D25="",0,VLOOKUP(D25,D$22:D24,1,0))</f>
        <v>#N/A</v>
      </c>
      <c r="F25" s="494" t="n">
        <f aca="false">IF(AND(OR(A25="",A25="!!!!!!"),B25="",C25=""),"",IF(OR(AND(B25="",C25=""),ISERROR(C25+B25)),"!!!",($B25*$B$7+$C25*$C$7)/100))</f>
        <v>0.0504</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6</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Cladophora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1124</v>
      </c>
      <c r="R25" s="484" t="n">
        <f aca="false">IF(ISTEXT(H25),"",(B25*$B$7/100)+(C25*$C$7/100))</f>
        <v>0.0504</v>
      </c>
      <c r="S25" s="485" t="n">
        <f aca="false">IF(OR(ISTEXT(H25),R25=0),"",IF(R25&lt;0.1,1,IF(R25&lt;1,2,IF(R25&lt;10,3,IF(R25&lt;50,4,IF(R25&gt;=50,5,""))))))</f>
        <v>1</v>
      </c>
      <c r="T25" s="485" t="n">
        <f aca="false">IF(ISERROR(S25*J25),0,S25*J25)</f>
        <v>6</v>
      </c>
      <c r="U25" s="485" t="n">
        <f aca="false">IF(ISERROR(S25*J25*K25),0,S25*J25*K25)</f>
        <v>6</v>
      </c>
      <c r="V25" s="501" t="n">
        <f aca="false">IF(ISERROR(S25*K25),0,S25*K25)</f>
        <v>1</v>
      </c>
      <c r="W25" s="502"/>
      <c r="X25" s="503"/>
      <c r="Y25" s="488" t="str">
        <f aca="false">IF(AND(ISNUMBER(F25),OR(A25="",A25="!!!!!!")),"!!!!!!",IF(A25="new.cod","NEWCOD",IF(AND((Z25=""),ISTEXT(A25),A25&lt;&gt;"!!!!!!"),A25,IF(Z25="","",INDEX('liste reference'!$A$6:$A$1174,Z25)))))</f>
        <v>CLASPX</v>
      </c>
      <c r="Z25" s="470" t="n">
        <f aca="false">IF(ISERROR(MATCH(A25,'liste reference'!$A$6:$A$1174,0)),IF(ISERROR(MATCH(A25,'liste reference'!$B$6:$B$1174,0)),"",(MATCH(A25,'liste reference'!$B$6:$B$1174,0))),(MATCH(A25,'liste reference'!$A$6:$A$1174,0)))</f>
        <v>35</v>
      </c>
    </row>
    <row r="26" customFormat="false" ht="12.75" hidden="false" customHeight="false" outlineLevel="0" collapsed="false">
      <c r="A26" s="489" t="s">
        <v>195</v>
      </c>
      <c r="B26" s="490" t="n">
        <v>0.02</v>
      </c>
      <c r="C26" s="491" t="n">
        <v>0.02</v>
      </c>
      <c r="D26" s="492" t="str">
        <f aca="false">IF(ISERROR(VLOOKUP($A26,'liste reference'!$A$6:$B$1174,2,0)),IF(ISERROR(VLOOKUP($A26,'liste reference'!$B$6:$B$1174,1,0)),"",VLOOKUP($A26,'liste reference'!$B$6:$B$1174,1,0)),VLOOKUP($A26,'liste reference'!$A$6:$B$1174,2,0))</f>
        <v>Hildenbrandia sp.</v>
      </c>
      <c r="E26" s="493" t="e">
        <f aca="false">IF(D26="",0,VLOOKUP(D26,D$22:D25,1,0))</f>
        <v>#N/A</v>
      </c>
      <c r="F26" s="494" t="n">
        <f aca="false">IF(AND(OR(A26="",A26="!!!!!!"),B26="",C26=""),"",IF(OR(AND(B26="",C26=""),ISERROR(C26+B26)),"!!!",($B26*$B$7+$C26*$C$7)/100))</f>
        <v>0.02</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15</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Hildenbrandia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1157</v>
      </c>
      <c r="R26" s="484" t="n">
        <f aca="false">IF(ISTEXT(H26),"",(B26*$B$7/100)+(C26*$C$7/100))</f>
        <v>0.02</v>
      </c>
      <c r="S26" s="485" t="n">
        <f aca="false">IF(OR(ISTEXT(H26),R26=0),"",IF(R26&lt;0.1,1,IF(R26&lt;1,2,IF(R26&lt;10,3,IF(R26&lt;50,4,IF(R26&gt;=50,5,""))))))</f>
        <v>1</v>
      </c>
      <c r="T26" s="485" t="n">
        <f aca="false">IF(ISERROR(S26*J26),0,S26*J26)</f>
        <v>15</v>
      </c>
      <c r="U26" s="485" t="n">
        <f aca="false">IF(ISERROR(S26*J26*K26),0,S26*J26*K26)</f>
        <v>30</v>
      </c>
      <c r="V26" s="501" t="n">
        <f aca="false">IF(ISERROR(S26*K26),0,S26*K26)</f>
        <v>2</v>
      </c>
      <c r="W26" s="502"/>
      <c r="X26" s="503"/>
      <c r="Y26" s="488" t="str">
        <f aca="false">IF(AND(ISNUMBER(F26),OR(A26="",A26="!!!!!!")),"!!!!!!",IF(A26="new.cod","NEWCOD",IF(AND((Z26=""),ISTEXT(A26),A26&lt;&gt;"!!!!!!"),A26,IF(Z26="","",INDEX('liste reference'!$A$6:$A$1174,Z26)))))</f>
        <v>HILSPX</v>
      </c>
      <c r="Z26" s="470" t="n">
        <f aca="false">IF(ISERROR(MATCH(A26,'liste reference'!$A$6:$A$1174,0)),IF(ISERROR(MATCH(A26,'liste reference'!$B$6:$B$1174,0)),"",(MATCH(A26,'liste reference'!$B$6:$B$1174,0))),(MATCH(A26,'liste reference'!$A$6:$A$1174,0)))</f>
        <v>53</v>
      </c>
    </row>
    <row r="27" customFormat="false" ht="12.75" hidden="false" customHeight="false" outlineLevel="0" collapsed="false">
      <c r="A27" s="489" t="s">
        <v>228</v>
      </c>
      <c r="B27" s="490" t="n">
        <v>0.01</v>
      </c>
      <c r="C27" s="491"/>
      <c r="D27" s="492" t="str">
        <f aca="false">IF(ISERROR(VLOOKUP($A27,'liste reference'!$A$6:$B$1174,2,0)),IF(ISERROR(VLOOKUP($A27,'liste reference'!$B$6:$B$1174,1,0)),"",VLOOKUP($A27,'liste reference'!$B$6:$B$1174,1,0)),VLOOKUP($A27,'liste reference'!$A$6:$B$1174,2,0))</f>
        <v>Melosira sp.</v>
      </c>
      <c r="E27" s="493" t="e">
        <f aca="false">IF(D27="",0,VLOOKUP(D27,D$22:D26,1,0))</f>
        <v>#N/A</v>
      </c>
      <c r="F27" s="494" t="n">
        <f aca="false">IF(AND(OR(A27="",A27="!!!!!!"),B27="",C27=""),"",IF(OR(AND(B27="",C27=""),ISERROR(C27+B27)),"!!!",($B27*$B$7+$C27*$C$7)/100))</f>
        <v>0.0072</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10</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Melosira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8714</v>
      </c>
      <c r="R27" s="484" t="n">
        <f aca="false">IF(ISTEXT(H27),"",(B27*$B$7/100)+(C27*$C$7/100))</f>
        <v>0.0072</v>
      </c>
      <c r="S27" s="485" t="n">
        <f aca="false">IF(OR(ISTEXT(H27),R27=0),"",IF(R27&lt;0.1,1,IF(R27&lt;1,2,IF(R27&lt;10,3,IF(R27&lt;50,4,IF(R27&gt;=50,5,""))))))</f>
        <v>1</v>
      </c>
      <c r="T27" s="485" t="n">
        <f aca="false">IF(ISERROR(S27*J27),0,S27*J27)</f>
        <v>10</v>
      </c>
      <c r="U27" s="485" t="n">
        <f aca="false">IF(ISERROR(S27*J27*K27),0,S27*J27*K27)</f>
        <v>10</v>
      </c>
      <c r="V27" s="501" t="n">
        <f aca="false">IF(ISERROR(S27*K27),0,S27*K27)</f>
        <v>1</v>
      </c>
      <c r="W27" s="502"/>
      <c r="X27" s="503"/>
      <c r="Y27" s="488" t="str">
        <f aca="false">IF(AND(ISNUMBER(F27),OR(A27="",A27="!!!!!!")),"!!!!!!",IF(A27="new.cod","NEWCOD",IF(AND((Z27=""),ISTEXT(A27),A27&lt;&gt;"!!!!!!"),A27,IF(Z27="","",INDEX('liste reference'!$A$6:$A$1174,Z27)))))</f>
        <v>MELSPX</v>
      </c>
      <c r="Z27" s="470" t="n">
        <f aca="false">IF(ISERROR(MATCH(A27,'liste reference'!$A$6:$A$1174,0)),IF(ISERROR(MATCH(A27,'liste reference'!$B$6:$B$1174,0)),"",(MATCH(A27,'liste reference'!$B$6:$B$1174,0))),(MATCH(A27,'liste reference'!$A$6:$A$1174,0)))</f>
        <v>62</v>
      </c>
    </row>
    <row r="28" customFormat="false" ht="12.75" hidden="false" customHeight="false" outlineLevel="0" collapsed="false">
      <c r="A28" s="489" t="s">
        <v>395</v>
      </c>
      <c r="B28" s="490" t="n">
        <v>0.05</v>
      </c>
      <c r="C28" s="491"/>
      <c r="D28" s="492" t="str">
        <f aca="false">IF(ISERROR(VLOOKUP($A28,'liste reference'!$A$6:$B$1174,2,0)),IF(ISERROR(VLOOKUP($A28,'liste reference'!$B$6:$B$1174,1,0)),"",VLOOKUP($A28,'liste reference'!$B$6:$B$1174,1,0)),VLOOKUP($A28,'liste reference'!$A$6:$B$1174,2,0))</f>
        <v>Vaucheria sp.</v>
      </c>
      <c r="E28" s="493" t="e">
        <f aca="false">IF(D28="",0,VLOOKUP(D28,D$22:D27,1,0))</f>
        <v>#N/A</v>
      </c>
      <c r="F28" s="494" t="n">
        <f aca="false">IF(AND(OR(A28="",A28="!!!!!!"),B28="",C28=""),"",IF(OR(AND(B28="",C28=""),ISERROR(C28+B28)),"!!!",($B28*$B$7+$C28*$C$7)/100))</f>
        <v>0.036</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4</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Vaucheria sp.</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1169</v>
      </c>
      <c r="R28" s="484" t="n">
        <f aca="false">IF(ISTEXT(H28),"",(B28*$B$7/100)+(C28*$C$7/100))</f>
        <v>0.036</v>
      </c>
      <c r="S28" s="485" t="n">
        <f aca="false">IF(OR(ISTEXT(H28),R28=0),"",IF(R28&lt;0.1,1,IF(R28&lt;1,2,IF(R28&lt;10,3,IF(R28&lt;50,4,IF(R28&gt;=50,5,""))))))</f>
        <v>1</v>
      </c>
      <c r="T28" s="485" t="n">
        <f aca="false">IF(ISERROR(S28*J28),0,S28*J28)</f>
        <v>4</v>
      </c>
      <c r="U28" s="485" t="n">
        <f aca="false">IF(ISERROR(S28*J28*K28),0,S28*J28*K28)</f>
        <v>4</v>
      </c>
      <c r="V28" s="501" t="n">
        <f aca="false">IF(ISERROR(S28*K28),0,S28*K28)</f>
        <v>1</v>
      </c>
      <c r="W28" s="502"/>
      <c r="X28" s="503"/>
      <c r="Y28" s="488" t="str">
        <f aca="false">IF(AND(ISNUMBER(F28),OR(A28="",A28="!!!!!!")),"!!!!!!",IF(A28="new.cod","NEWCOD",IF(AND((Z28=""),ISTEXT(A28),A28&lt;&gt;"!!!!!!"),A28,IF(Z28="","",INDEX('liste reference'!$A$6:$A$1174,Z28)))))</f>
        <v>VAUSPX</v>
      </c>
      <c r="Z28" s="470" t="n">
        <f aca="false">IF(ISERROR(MATCH(A28,'liste reference'!$A$6:$A$1174,0)),IF(ISERROR(MATCH(A28,'liste reference'!$B$6:$B$1174,0)),"",(MATCH(A28,'liste reference'!$B$6:$B$1174,0))),(MATCH(A28,'liste reference'!$A$6:$A$1174,0)))</f>
        <v>118</v>
      </c>
    </row>
    <row r="29" customFormat="false" ht="12.75" hidden="false" customHeight="false" outlineLevel="0" collapsed="false">
      <c r="A29" s="489" t="s">
        <v>448</v>
      </c>
      <c r="B29" s="490" t="n">
        <v>1.5</v>
      </c>
      <c r="C29" s="491" t="n">
        <v>4</v>
      </c>
      <c r="D29" s="492" t="str">
        <f aca="false">IF(ISERROR(VLOOKUP($A29,'liste reference'!$A$6:$B$1174,2,0)),IF(ISERROR(VLOOKUP($A29,'liste reference'!$B$6:$B$1174,1,0)),"",VLOOKUP($A29,'liste reference'!$B$6:$B$1174,1,0)),VLOOKUP($A29,'liste reference'!$A$6:$B$1174,2,0))</f>
        <v>Chiloscyphus polyanthos</v>
      </c>
      <c r="E29" s="493" t="e">
        <f aca="false">IF(D29="",0,VLOOKUP(D29,D$22:D28,1,0))</f>
        <v>#N/A</v>
      </c>
      <c r="F29" s="494" t="n">
        <f aca="false">IF(AND(OR(A29="",A29="!!!!!!"),B29="",C29=""),"",IF(OR(AND(B29="",C29=""),ISERROR(C29+B29)),"!!!",($B29*$B$7+$C29*$C$7)/100))</f>
        <v>2.2</v>
      </c>
      <c r="G29" s="495" t="str">
        <f aca="false">IF(A29="","",IF(ISERROR(VLOOKUP($A29,'liste reference'!$A$6:$Q$1174,9,0)),IF(ISERROR(VLOOKUP($A29,'liste reference'!$B$6:$Q$1174,8,0)),"    -",VLOOKUP($A29,'liste reference'!$B$6:$Q$1174,8,0)),VLOOKUP($A29,'liste reference'!$A$6:$Q$1174,9,0)))</f>
        <v>BRh</v>
      </c>
      <c r="H29" s="496" t="n">
        <f aca="false">IF(A29="","x",IF(ISERROR(VLOOKUP($A29,'liste reference'!$A$6:$Q$1174,10,0)),IF(ISERROR(VLOOKUP($A29,'liste reference'!$B$6:$Q$1174,9,0)),"x",VLOOKUP($A29,'liste reference'!$B$6:$Q$1174,9,0)),VLOOKUP($A29,'liste reference'!$A$6:$Q$1174,10,0)))</f>
        <v>4</v>
      </c>
      <c r="I29" s="281" t="n">
        <f aca="false">IF(A29="","",1)</f>
        <v>1</v>
      </c>
      <c r="J29" s="497" t="n">
        <f aca="false">IF(ISNUMBER($H29),IF(ISERROR(VLOOKUP($A29,'liste reference'!$A$6:$Q$1174,6,0)),IF(ISERROR(VLOOKUP($A29,'liste reference'!$B$6:$Q$1174,5,0)),"nu",VLOOKUP($A29,'liste reference'!$B$6:$Q$1174,5,0)),VLOOKUP($A29,'liste reference'!$A$6:$Q$1174,6,0)),"nu")</f>
        <v>15</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Chiloscyphus polyanthos</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1186</v>
      </c>
      <c r="R29" s="484" t="n">
        <f aca="false">IF(ISTEXT(H29),"",(B29*$B$7/100)+(C29*$C$7/100))</f>
        <v>2.2</v>
      </c>
      <c r="S29" s="485" t="n">
        <f aca="false">IF(OR(ISTEXT(H29),R29=0),"",IF(R29&lt;0.1,1,IF(R29&lt;1,2,IF(R29&lt;10,3,IF(R29&lt;50,4,IF(R29&gt;=50,5,""))))))</f>
        <v>3</v>
      </c>
      <c r="T29" s="485" t="n">
        <f aca="false">IF(ISERROR(S29*J29),0,S29*J29)</f>
        <v>45</v>
      </c>
      <c r="U29" s="485" t="n">
        <f aca="false">IF(ISERROR(S29*J29*K29),0,S29*J29*K29)</f>
        <v>90</v>
      </c>
      <c r="V29" s="501" t="n">
        <f aca="false">IF(ISERROR(S29*K29),0,S29*K29)</f>
        <v>6</v>
      </c>
      <c r="W29" s="502"/>
      <c r="X29" s="503"/>
      <c r="Y29" s="488" t="str">
        <f aca="false">IF(AND(ISNUMBER(F29),OR(A29="",A29="!!!!!!")),"!!!!!!",IF(A29="new.cod","NEWCOD",IF(AND((Z29=""),ISTEXT(A29),A29&lt;&gt;"!!!!!!"),A29,IF(Z29="","",INDEX('liste reference'!$A$6:$A$1174,Z29)))))</f>
        <v>CHIPOL</v>
      </c>
      <c r="Z29" s="470" t="n">
        <f aca="false">IF(ISERROR(MATCH(A29,'liste reference'!$A$6:$A$1174,0)),IF(ISERROR(MATCH(A29,'liste reference'!$B$6:$B$1174,0)),"",(MATCH(A29,'liste reference'!$B$6:$B$1174,0))),(MATCH(A29,'liste reference'!$A$6:$A$1174,0)))</f>
        <v>137</v>
      </c>
    </row>
    <row r="30" customFormat="false" ht="12.75" hidden="false" customHeight="false" outlineLevel="0" collapsed="false">
      <c r="A30" s="489" t="s">
        <v>830</v>
      </c>
      <c r="B30" s="490" t="n">
        <v>0.01</v>
      </c>
      <c r="C30" s="491"/>
      <c r="D30" s="492" t="str">
        <f aca="false">IF(ISERROR(VLOOKUP($A30,'liste reference'!$A$6:$B$1174,2,0)),IF(ISERROR(VLOOKUP($A30,'liste reference'!$B$6:$B$1174,1,0)),"",VLOOKUP($A30,'liste reference'!$B$6:$B$1174,1,0)),VLOOKUP($A30,'liste reference'!$A$6:$B$1174,2,0))</f>
        <v>Fissidens crassipes</v>
      </c>
      <c r="E30" s="493" t="e">
        <f aca="false">IF(D30="",0,VLOOKUP(D30,D$22:D29,1,0))</f>
        <v>#N/A</v>
      </c>
      <c r="F30" s="494" t="n">
        <f aca="false">IF(AND(OR(A30="",A30="!!!!!!"),B30="",C30=""),"",IF(OR(AND(B30="",C30=""),ISERROR(C30+B30)),"!!!",($B30*$B$7+$C30*$C$7)/100))</f>
        <v>0.0072</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12</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Fissidens crassipes</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1294</v>
      </c>
      <c r="R30" s="484" t="n">
        <f aca="false">IF(ISTEXT(H30),"",(B30*$B$7/100)+(C30*$C$7/100))</f>
        <v>0.0072</v>
      </c>
      <c r="S30" s="485" t="n">
        <f aca="false">IF(OR(ISTEXT(H30),R30=0),"",IF(R30&lt;0.1,1,IF(R30&lt;1,2,IF(R30&lt;10,3,IF(R30&lt;50,4,IF(R30&gt;=50,5,""))))))</f>
        <v>1</v>
      </c>
      <c r="T30" s="485" t="n">
        <f aca="false">IF(ISERROR(S30*J30),0,S30*J30)</f>
        <v>12</v>
      </c>
      <c r="U30" s="485" t="n">
        <f aca="false">IF(ISERROR(S30*J30*K30),0,S30*J30*K30)</f>
        <v>24</v>
      </c>
      <c r="V30" s="501" t="n">
        <f aca="false">IF(ISERROR(S30*K30),0,S30*K30)</f>
        <v>2</v>
      </c>
      <c r="W30" s="502"/>
      <c r="X30" s="503"/>
      <c r="Y30" s="488" t="str">
        <f aca="false">IF(AND(ISNUMBER(F30),OR(A30="",A30="!!!!!!")),"!!!!!!",IF(A30="new.cod","NEWCOD",IF(AND((Z30=""),ISTEXT(A30),A30&lt;&gt;"!!!!!!"),A30,IF(Z30="","",INDEX('liste reference'!$A$6:$A$1174,Z30)))))</f>
        <v>FISCRA</v>
      </c>
      <c r="Z30" s="470" t="n">
        <f aca="false">IF(ISERROR(MATCH(A30,'liste reference'!$A$6:$A$1174,0)),IF(ISERROR(MATCH(A30,'liste reference'!$B$6:$B$1174,0)),"",(MATCH(A30,'liste reference'!$B$6:$B$1174,0))),(MATCH(A30,'liste reference'!$A$6:$A$1174,0)))</f>
        <v>255</v>
      </c>
    </row>
    <row r="31" customFormat="false" ht="12.75" hidden="false" customHeight="false" outlineLevel="0" collapsed="false">
      <c r="A31" s="489" t="s">
        <v>2174</v>
      </c>
      <c r="B31" s="490"/>
      <c r="C31" s="491" t="n">
        <v>0.01</v>
      </c>
      <c r="D31" s="492" t="str">
        <f aca="false">IF(ISERROR(VLOOKUP($A31,'liste reference'!$A$6:$B$1174,2,0)),IF(ISERROR(VLOOKUP($A31,'liste reference'!$B$6:$B$1174,1,0)),"",VLOOKUP($A31,'liste reference'!$B$6:$B$1174,1,0)),VLOOKUP($A31,'liste reference'!$A$6:$B$1174,2,0))</f>
        <v>Phragmites australis</v>
      </c>
      <c r="E31" s="493" t="e">
        <f aca="false">IF(D31="",0,VLOOKUP(D31,D$22:D30,1,0))</f>
        <v>#N/A</v>
      </c>
      <c r="F31" s="494" t="n">
        <f aca="false">IF(AND(OR(A31="",A31="!!!!!!"),B31="",C31=""),"",IF(OR(AND(B31="",C31=""),ISERROR(C31+B31)),"!!!",($B31*$B$7+$C31*$C$7)/100))</f>
        <v>0.0028</v>
      </c>
      <c r="G31" s="495" t="str">
        <f aca="false">IF(A31="","",IF(ISERROR(VLOOKUP($A31,'liste reference'!$A$6:$Q$1174,9,0)),IF(ISERROR(VLOOKUP($A31,'liste reference'!$B$6:$Q$1174,8,0)),"    -",VLOOKUP($A31,'liste reference'!$B$6:$Q$1174,8,0)),VLOOKUP($A31,'liste reference'!$A$6:$Q$1174,9,0)))</f>
        <v>PHe</v>
      </c>
      <c r="H31" s="496" t="n">
        <f aca="false">IF(A31="","x",IF(ISERROR(VLOOKUP($A31,'liste reference'!$A$6:$Q$1174,10,0)),IF(ISERROR(VLOOKUP($A31,'liste reference'!$B$6:$Q$1174,9,0)),"x",VLOOKUP($A31,'liste reference'!$B$6:$Q$1174,9,0)),VLOOKUP($A31,'liste reference'!$A$6:$Q$1174,10,0)))</f>
        <v>8</v>
      </c>
      <c r="I31" s="281" t="n">
        <f aca="false">IF(A31="","",1)</f>
        <v>1</v>
      </c>
      <c r="J31" s="497" t="n">
        <f aca="false">IF(ISNUMBER($H31),IF(ISERROR(VLOOKUP($A31,'liste reference'!$A$6:$Q$1174,6,0)),IF(ISERROR(VLOOKUP($A31,'liste reference'!$B$6:$Q$1174,5,0)),"nu",VLOOKUP($A31,'liste reference'!$B$6:$Q$1174,5,0)),VLOOKUP($A31,'liste reference'!$A$6:$Q$1174,6,0)),"nu")</f>
        <v>9</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Phragmites australis</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1579</v>
      </c>
      <c r="R31" s="484" t="n">
        <f aca="false">IF(ISTEXT(H31),"",(B31*$B$7/100)+(C31*$C$7/100))</f>
        <v>0.0028</v>
      </c>
      <c r="S31" s="485" t="n">
        <f aca="false">IF(OR(ISTEXT(H31),R31=0),"",IF(R31&lt;0.1,1,IF(R31&lt;1,2,IF(R31&lt;10,3,IF(R31&lt;50,4,IF(R31&gt;=50,5,""))))))</f>
        <v>1</v>
      </c>
      <c r="T31" s="485" t="n">
        <f aca="false">IF(ISERROR(S31*J31),0,S31*J31)</f>
        <v>9</v>
      </c>
      <c r="U31" s="485" t="n">
        <f aca="false">IF(ISERROR(S31*J31*K31),0,S31*J31*K31)</f>
        <v>18</v>
      </c>
      <c r="V31" s="501" t="n">
        <f aca="false">IF(ISERROR(S31*K31),0,S31*K31)</f>
        <v>2</v>
      </c>
      <c r="W31" s="502"/>
      <c r="X31" s="503"/>
      <c r="Y31" s="488" t="str">
        <f aca="false">IF(AND(ISNUMBER(F31),OR(A31="",A31="!!!!!!")),"!!!!!!",IF(A31="new.cod","NEWCOD",IF(AND((Z31=""),ISTEXT(A31),A31&lt;&gt;"!!!!!!"),A31,IF(Z31="","",INDEX('liste reference'!$A$6:$A$1174,Z31)))))</f>
        <v>PHRAUS</v>
      </c>
      <c r="Z31" s="470" t="n">
        <f aca="false">IF(ISERROR(MATCH(A31,'liste reference'!$A$6:$A$1174,0)),IF(ISERROR(MATCH(A31,'liste reference'!$B$6:$B$1174,0)),"",(MATCH(A31,'liste reference'!$B$6:$B$1174,0))),(MATCH(A31,'liste reference'!$A$6:$A$1174,0)))</f>
        <v>709</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2.3668</v>
      </c>
      <c r="G83" s="424"/>
      <c r="H83" s="424"/>
      <c r="I83" s="424"/>
      <c r="J83" s="424"/>
      <c r="K83" s="424"/>
      <c r="L83" s="424"/>
      <c r="M83" s="485"/>
      <c r="N83" s="485"/>
      <c r="O83" s="485"/>
      <c r="P83" s="485"/>
      <c r="Q83" s="485"/>
      <c r="R83" s="485"/>
      <c r="S83" s="485"/>
      <c r="T83" s="485"/>
      <c r="U83" s="485"/>
      <c r="V83" s="485" t="n">
        <f aca="false">SUM(V23:V82)</f>
        <v>19</v>
      </c>
      <c r="W83" s="485"/>
      <c r="X83" s="523"/>
      <c r="Y83" s="523"/>
      <c r="Z83" s="524"/>
    </row>
    <row r="84" customFormat="false" ht="12.75" hidden="true" customHeight="false" outlineLevel="0" collapsed="false">
      <c r="A84" s="518" t="str">
        <f aca="false">A3</f>
        <v>ARGENS</v>
      </c>
      <c r="B84" s="453" t="str">
        <f aca="false">C3</f>
        <v>ARGENS A CHATEAUVERT 2</v>
      </c>
      <c r="C84" s="525" t="str">
        <f aca="false">A4</f>
        <v>(Date)</v>
      </c>
      <c r="D84" s="526" t="n">
        <f aca="false">IF(OR(ISERROR(SUM($U$23:$U$82)/SUM($V$23:$V$82)),F7&lt;&gt;100),-1,SUM($U$23:$U$82)/SUM($V$23:$V$82))</f>
        <v>12.6315789473684</v>
      </c>
      <c r="E84" s="527" t="n">
        <f aca="false">O13</f>
        <v>9</v>
      </c>
      <c r="F84" s="453" t="n">
        <f aca="false">O14</f>
        <v>9</v>
      </c>
      <c r="G84" s="453" t="n">
        <f aca="false">O15</f>
        <v>3</v>
      </c>
      <c r="H84" s="453" t="n">
        <f aca="false">O16</f>
        <v>6</v>
      </c>
      <c r="I84" s="453" t="n">
        <f aca="false">O17</f>
        <v>0</v>
      </c>
      <c r="J84" s="528" t="n">
        <f aca="false">O8</f>
        <v>11.1111111111111</v>
      </c>
      <c r="K84" s="529" t="n">
        <f aca="false">O9</f>
        <v>3.95655418105886</v>
      </c>
      <c r="L84" s="530" t="n">
        <f aca="false">O10</f>
        <v>4</v>
      </c>
      <c r="M84" s="530" t="n">
        <f aca="false">O11</f>
        <v>16</v>
      </c>
      <c r="N84" s="529" t="n">
        <f aca="false">P8</f>
        <v>1.66666666666667</v>
      </c>
      <c r="O84" s="529" t="n">
        <f aca="false">P9</f>
        <v>0.471404520791032</v>
      </c>
      <c r="P84" s="530" t="n">
        <f aca="false">P10</f>
        <v>1</v>
      </c>
      <c r="Q84" s="530" t="n">
        <f aca="false">P11</f>
        <v>2</v>
      </c>
      <c r="R84" s="530" t="n">
        <f aca="false">F21</f>
        <v>2.3668</v>
      </c>
      <c r="S84" s="530" t="n">
        <f aca="false">L11</f>
        <v>0</v>
      </c>
      <c r="T84" s="530" t="n">
        <f aca="false">L12</f>
        <v>6</v>
      </c>
      <c r="U84" s="530" t="n">
        <f aca="false">L13</f>
        <v>2</v>
      </c>
      <c r="V84" s="531" t="n">
        <f aca="false">L15</f>
        <v>1</v>
      </c>
      <c r="W84" s="532" t="n">
        <f aca="false">L15</f>
        <v>1</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45</v>
      </c>
      <c r="U87" s="281"/>
      <c r="V87" s="281"/>
    </row>
    <row r="88" customFormat="false" ht="12.75" hidden="true" customHeight="false" outlineLevel="0" collapsed="false">
      <c r="C88" s="534"/>
      <c r="D88" s="534"/>
      <c r="E88" s="534"/>
      <c r="R88" s="281" t="s">
        <v>3452</v>
      </c>
      <c r="S88" s="281"/>
      <c r="T88" s="536" t="n">
        <f aca="false">VLOOKUP($T$91,($A$23:$U$82),21,0)</f>
        <v>90</v>
      </c>
      <c r="U88" s="281"/>
      <c r="V88" s="281" t="n">
        <f aca="false">COUNTIF(V23:V82,T89)</f>
        <v>1</v>
      </c>
    </row>
    <row r="89" customFormat="false" ht="12.75" hidden="true" customHeight="false" outlineLevel="0" collapsed="false">
      <c r="C89" s="534"/>
      <c r="D89" s="534"/>
      <c r="E89" s="534"/>
      <c r="R89" s="281" t="s">
        <v>3453</v>
      </c>
      <c r="S89" s="281"/>
      <c r="T89" s="536" t="n">
        <f aca="false">MAX($V$23:$V$82)</f>
        <v>6</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11.5384615384615</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CHIPOL</v>
      </c>
      <c r="U91" s="281" t="n">
        <f aca="false">IF(ISERROR(MATCH($T$93,'liste reference'!$A$6:$A$1174,0)),MATCH($T$93,'liste reference'!$B$6:$B$1174,0),(MATCH($T$93,'liste reference'!$A$6:$A$1174,0)))</f>
        <v>137</v>
      </c>
      <c r="V91" s="538"/>
    </row>
    <row r="92" customFormat="false" ht="12.75" hidden="true" customHeight="false" outlineLevel="0" collapsed="false">
      <c r="C92" s="534"/>
      <c r="D92" s="534"/>
      <c r="E92" s="534"/>
      <c r="R92" s="281" t="s">
        <v>3456</v>
      </c>
      <c r="S92" s="281"/>
      <c r="T92" s="281" t="n">
        <f aca="false">MATCH(T89,$V$23:$V$82,0)</f>
        <v>7</v>
      </c>
      <c r="U92" s="281"/>
    </row>
    <row r="93" customFormat="false" ht="12.75" hidden="true" customHeight="false" outlineLevel="0" collapsed="false">
      <c r="C93" s="534"/>
      <c r="D93" s="534"/>
      <c r="E93" s="534"/>
      <c r="R93" s="485" t="s">
        <v>3457</v>
      </c>
      <c r="S93" s="281"/>
      <c r="T93" s="485" t="str">
        <f aca="false">INDEX($A$23:$A$82,$T$92)</f>
        <v>CHIPOL</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3478</v>
      </c>
      <c r="G20" s="8"/>
      <c r="H20" s="575" t="s">
        <v>3478</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3486</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3487</v>
      </c>
    </row>
    <row r="37" customFormat="false" ht="15" hidden="false" customHeight="false" outlineLevel="0" collapsed="false">
      <c r="A37" s="563"/>
      <c r="B37" s="566" t="s">
        <v>2979</v>
      </c>
      <c r="C37" s="567"/>
      <c r="D37" s="568"/>
      <c r="F37" s="581" t="s">
        <v>3488</v>
      </c>
    </row>
    <row r="38" customFormat="false" ht="15" hidden="false" customHeight="false" outlineLevel="0" collapsed="false">
      <c r="A38" s="563"/>
      <c r="B38" s="566" t="s">
        <v>2981</v>
      </c>
      <c r="C38" s="567"/>
      <c r="D38" s="568"/>
      <c r="F38" s="583" t="s">
        <v>3403</v>
      </c>
    </row>
    <row r="39" customFormat="false" ht="15" hidden="false" customHeight="false" outlineLevel="0" collapsed="false">
      <c r="A39" s="563"/>
      <c r="B39" s="566" t="s">
        <v>2983</v>
      </c>
      <c r="C39" s="567"/>
      <c r="D39" s="568"/>
      <c r="F39" s="583" t="s">
        <v>3489</v>
      </c>
    </row>
    <row r="40" customFormat="false" ht="15" hidden="false" customHeight="false" outlineLevel="0" collapsed="false">
      <c r="A40" s="563"/>
      <c r="B40" s="566" t="s">
        <v>624</v>
      </c>
      <c r="C40" s="567"/>
      <c r="D40" s="568"/>
      <c r="F40" s="583" t="s">
        <v>3490</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3491</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3492</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3493</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3494</v>
      </c>
    </row>
    <row r="1188" customFormat="false" ht="15" hidden="false" customHeight="false" outlineLevel="0" collapsed="false">
      <c r="A1188" s="563"/>
      <c r="B1188" s="566" t="s">
        <v>3495</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3496</v>
      </c>
    </row>
    <row r="1229" customFormat="false" ht="15" hidden="false" customHeight="false" outlineLevel="0" collapsed="false">
      <c r="A1229" s="563"/>
      <c r="B1229" s="566" t="s">
        <v>3497</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jlam</cp:lastModifiedBy>
  <cp:lastPrinted>2015-05-20T11:23:22Z</cp:lastPrinted>
  <dcterms:modified xsi:type="dcterms:W3CDTF">2018-03-16T16:38:59Z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