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artuby-Trans-Prov" sheetId="1" state="visible" r:id="rId3"/>
  </sheets>
  <externalReferences>
    <externalReference r:id="rId4"/>
  </externalReferences>
  <definedNames>
    <definedName function="false" hidden="false" localSheetId="0" name="_xlnm.Print_Area" vbProcedure="false">'Nartuby-Trans-Prov'!$A$1:$O$82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'Nartuby-Trans-Prov'!$A$23:$J$84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<sst xmlns="http://schemas.openxmlformats.org/spreadsheetml/2006/main" count="97" uniqueCount="93">
  <si>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</si>
  <si>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</si>
  <si>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</si>
  <si>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</si>
  <si>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</si>
  <si>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Nartuby</t>
  </si>
  <si>
    <t xml:space="preserve">Trans en Provence</t>
  </si>
  <si>
    <t xml:space="preserve">06205480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</si>
  <si>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</si>
  <si>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</si>
  <si>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</si>
  <si>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</si>
  <si>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</si>
  <si>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</si>
  <si>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</si>
  <si>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HIL.SPX</t>
  </si>
  <si>
    <t xml:space="preserve">Type de faciès</t>
  </si>
  <si>
    <t xml:space="preserve">radier</t>
  </si>
  <si>
    <t xml:space="preserve">niv. trophique:</t>
  </si>
  <si>
    <t xml:space="preserve">très élevé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</si>
  <si>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</si>
  <si>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</si>
  <si>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</si>
  <si>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</si>
  <si>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</si>
  <si>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</si>
  <si>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</si>
  <si>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</si>
  <si>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</si>
  <si>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</si>
  <si>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</si>
  <si>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</si>
  <si>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</si>
  <si>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</si>
  <si>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</si>
  <si>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</si>
  <si>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</si>
  <si>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</si>
  <si>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</si>
  <si>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</si>
  <si>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</si>
  <si>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</si>
  <si>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</si>
  <si>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</si>
  <si>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</si>
  <si>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</si>
  <si>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</si>
  <si>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</si>
  <si>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</si>
  <si>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</si>
  <si>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</si>
  <si>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</si>
  <si>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</si>
  <si>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</si>
  <si>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</si>
  <si>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</si>
  <si>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</si>
  <si>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</si>
  <si>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</si>
  <si>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</si>
  <si>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</si>
  <si>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</si>
  <si>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</si>
  <si>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</si>
  <si>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</si>
  <si>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</si>
  <si>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</si>
  <si>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</si>
  <si>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</si>
  <si>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</si>
  <si>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</si>
  <si>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</si>
  <si>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</si>
  <si>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ENT.SPX</t>
  </si>
  <si>
    <t xml:space="preserve">CLA.SPX</t>
  </si>
  <si>
    <t xml:space="preserve">AMB.RIP</t>
  </si>
  <si>
    <t xml:space="preserve">RHY.RIP</t>
  </si>
  <si>
    <t xml:space="preserve">PEL.END</t>
  </si>
  <si>
    <t xml:space="preserve">CAL.SPX</t>
  </si>
  <si>
    <t xml:space="preserve">CAL.STA</t>
  </si>
  <si>
    <t xml:space="preserve">POT.PEC</t>
  </si>
  <si>
    <t xml:space="preserve">NAS.OFF</t>
  </si>
  <si>
    <t xml:space="preserve">PHR.AUS</t>
  </si>
  <si>
    <t xml:space="preserve">API.NOD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</si>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</sst>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7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7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40021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7.14814814814815</v>
      </c>
      <c r="M5" s="52"/>
      <c r="N5" s="53" t="s">
        <v>15</v>
      </c>
      <c r="O5" s="54" t="n">
        <v>5.78260869565217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8.5</v>
      </c>
      <c r="O8" s="83" t="n">
        <f aca="false">AVERAGE(J23:J82)</f>
        <v>1.6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4.30116263352131</v>
      </c>
      <c r="O9" s="83" t="n">
        <f aca="false">STDEV(J23:J82)</f>
        <v>0.516397779494322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15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10.78</v>
      </c>
      <c r="C12" s="118"/>
      <c r="D12" s="110"/>
      <c r="E12" s="110"/>
      <c r="F12" s="111" t="n">
        <f aca="false">($B12*$B$7+$C12*$C$7)/100</f>
        <v>10.78</v>
      </c>
      <c r="G12" s="119"/>
      <c r="H12" s="67"/>
      <c r="I12" s="120" t="s">
        <v>36</v>
      </c>
      <c r="J12" s="120"/>
      <c r="K12" s="114" t="n">
        <f aca="false">COUNTIF($G$23:$G$82,"=ALG")</f>
        <v>3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0.13</v>
      </c>
      <c r="C13" s="118"/>
      <c r="D13" s="110"/>
      <c r="E13" s="110"/>
      <c r="F13" s="111" t="n">
        <f aca="false">($B13*$B$7+$C13*$C$7)/100</f>
        <v>0.13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3</v>
      </c>
      <c r="L13" s="115"/>
      <c r="M13" s="125" t="s">
        <v>39</v>
      </c>
      <c r="N13" s="126" t="n">
        <f aca="false">COUNTIF(F23:F82,"&gt;0")</f>
        <v>12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10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1.75</v>
      </c>
      <c r="C15" s="133"/>
      <c r="D15" s="110"/>
      <c r="E15" s="110"/>
      <c r="F15" s="111" t="n">
        <f aca="false">($B15*$B$7+$C15*$C$7)/100</f>
        <v>1.75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6</v>
      </c>
      <c r="L15" s="115"/>
      <c r="M15" s="134" t="s">
        <v>45</v>
      </c>
      <c r="N15" s="135" t="n">
        <f aca="false">COUNTIF(J23:J82,"=1")</f>
        <v>4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6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12.63</v>
      </c>
      <c r="C17" s="118"/>
      <c r="D17" s="110"/>
      <c r="E17" s="110"/>
      <c r="F17" s="140"/>
      <c r="G17" s="111" t="n">
        <f aca="false">($B17*$B$7+$C17*$C$7)/100</f>
        <v>12.63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0.03</v>
      </c>
      <c r="C18" s="143"/>
      <c r="D18" s="110"/>
      <c r="E18" s="144" t="s">
        <v>51</v>
      </c>
      <c r="F18" s="140"/>
      <c r="G18" s="111" t="n">
        <f aca="false">($B18*$B$7+$C18*$C$7)/100</f>
        <v>0.03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12.66</v>
      </c>
      <c r="G19" s="152" t="n">
        <f aca="false">SUM(G16:G18)</f>
        <v>12.66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12.66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12.66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12.66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12.66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Enteromorpha intestinalis</v>
      </c>
      <c r="E23" s="198" t="e">
        <f aca="false">IF(D23="",0,VLOOKUP(D23,D$22:D22,1,0))</f>
        <v>#N/A</v>
      </c>
      <c r="F23" s="199" t="n">
        <f aca="false">($B23*$B$7+$C23*$C$7)/100</f>
        <v>0.1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3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Enteromorpha intestinalis</v>
      </c>
      <c r="L23" s="205"/>
      <c r="M23" s="205"/>
      <c r="N23" s="205"/>
      <c r="O23" s="206"/>
      <c r="P23" s="207" t="n">
        <f aca="false">IF(ISTEXT(H23),"",(B23*$B$7/100)+(C23*$C$7/100))</f>
        <v>0.1</v>
      </c>
      <c r="Q23" s="208" t="n">
        <f aca="false">IF(OR(ISTEXT(H23),P23=0),"",IF(P23&lt;0.1,1,IF(P23&lt;1,2,IF(P23&lt;10,3,IF(P23&lt;50,4,IF(P23&gt;=50,5,""))))))</f>
        <v>2</v>
      </c>
      <c r="R23" s="208" t="n">
        <f aca="false">IF(ISERROR(Q23*I23),0,Q23*I23)</f>
        <v>6</v>
      </c>
      <c r="S23" s="208" t="n">
        <f aca="false">IF(ISERROR(Q23*I23*J23),0,Q23*I23*J23)</f>
        <v>12</v>
      </c>
      <c r="T23" s="208" t="n">
        <f aca="false">IF(ISERROR(Q23*J23),0,Q23*J23)</f>
        <v>4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ENT.SPX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29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10.5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Cladophora sp. </v>
      </c>
      <c r="E24" s="217" t="e">
        <f aca="false">IF(D24="",0,VLOOKUP(D24,D$22:D23,1,0))</f>
        <v>#N/A</v>
      </c>
      <c r="F24" s="218" t="n">
        <f aca="false">($B24*$B$7+$C24*$C$7)/100</f>
        <v>10.5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6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Cladophora sp. </v>
      </c>
      <c r="L24" s="222"/>
      <c r="M24" s="222"/>
      <c r="N24" s="222"/>
      <c r="O24" s="206"/>
      <c r="P24" s="207" t="n">
        <f aca="false">IF(ISTEXT(H24),"",(B24*$B$7/100)+(C24*$C$7/100))</f>
        <v>10.5</v>
      </c>
      <c r="Q24" s="208" t="n">
        <f aca="false">IF(OR(ISTEXT(H24),P24=0),"",IF(P24&lt;0.1,1,IF(P24&lt;1,2,IF(P24&lt;10,3,IF(P24&lt;50,4,IF(P24&gt;=50,5,""))))))</f>
        <v>4</v>
      </c>
      <c r="R24" s="208" t="n">
        <f aca="false">IF(ISERROR(Q24*I24),0,Q24*I24)</f>
        <v>24</v>
      </c>
      <c r="S24" s="208" t="n">
        <f aca="false">IF(ISERROR(Q24*I24*J24),0,Q24*I24*J24)</f>
        <v>24</v>
      </c>
      <c r="T24" s="223" t="n">
        <f aca="false">IF(ISERROR(Q24*J24),0,Q24*J24)</f>
        <v>4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CLA.SPX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24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0.05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Amblystegium riparium (Leptodictyum riparium)</v>
      </c>
      <c r="E25" s="217" t="e">
        <f aca="false">IF(D25="",0,VLOOKUP(D25,D$22:D24,1,0))</f>
        <v>#N/A</v>
      </c>
      <c r="F25" s="218" t="n">
        <f aca="false">($B25*$B$7+$C25*$C$7)/100</f>
        <v>0.05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BRm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5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5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Amblystegium riparium (Leptodictyum riparium)</v>
      </c>
      <c r="L25" s="222"/>
      <c r="M25" s="222"/>
      <c r="N25" s="222"/>
      <c r="O25" s="206"/>
      <c r="P25" s="207" t="n">
        <f aca="false">IF(ISTEXT(H25),"",(B25*$B$7/100)+(C25*$C$7/100))</f>
        <v>0.05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5</v>
      </c>
      <c r="S25" s="208" t="n">
        <f aca="false">IF(ISERROR(Q25*I25*J25),0,Q25*I25*J25)</f>
        <v>10</v>
      </c>
      <c r="T25" s="223" t="n">
        <f aca="false">IF(ISERROR(Q25*J25),0,Q25*J25)</f>
        <v>2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AMB.RIP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149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0.05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Rhynchostegium riparioides (Platyhypnidium rusciforme)</v>
      </c>
      <c r="E26" s="217" t="e">
        <f aca="false">IF(D26="",0,VLOOKUP(D26,D$22:D25,1,0))</f>
        <v>#N/A</v>
      </c>
      <c r="F26" s="218" t="n">
        <f aca="false">($B26*$B$7+$C26*$C$7)/100</f>
        <v>0.05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BRm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5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12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Rhynchostegium riparioides (Platyhypnidium rusciforme)</v>
      </c>
      <c r="L26" s="222"/>
      <c r="M26" s="222"/>
      <c r="N26" s="222"/>
      <c r="O26" s="206"/>
      <c r="P26" s="207" t="n">
        <f aca="false">IF(ISTEXT(H26),"",(B26*$B$7/100)+(C26*$C$7/100))</f>
        <v>0.05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12</v>
      </c>
      <c r="S26" s="208" t="n">
        <f aca="false">IF(ISERROR(Q26*I26*J26),0,Q26*I26*J26)</f>
        <v>12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RHY.RIP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253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 t="n">
        <v>0.03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Pellia endiviifolia</v>
      </c>
      <c r="E27" s="217" t="e">
        <f aca="false">IF(D27="",0,VLOOKUP(D27,D$22:D26,1,0))</f>
        <v>#N/A</v>
      </c>
      <c r="F27" s="218" t="n">
        <f aca="false">($B27*$B$7+$C27*$C$7)/100</f>
        <v>0.03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BRh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4</v>
      </c>
      <c r="I27" s="220" t="str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/>
      </c>
      <c r="J27" s="203" t="str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/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Pellia endiviifolia</v>
      </c>
      <c r="L27" s="222"/>
      <c r="M27" s="222"/>
      <c r="N27" s="222"/>
      <c r="O27" s="206"/>
      <c r="P27" s="207" t="n">
        <f aca="false">IF(ISTEXT(H27),"",(B27*$B$7/100)+(C27*$C$7/100))</f>
        <v>0.03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0</v>
      </c>
      <c r="S27" s="208" t="n">
        <f aca="false">IF(ISERROR(Q27*I27*J27),0,Q27*I27*J27)</f>
        <v>0</v>
      </c>
      <c r="T27" s="223" t="n">
        <f aca="false">IF(ISERROR(Q27*J27),0,Q27*J27)</f>
        <v>0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PEL.END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121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Callitiriche sp.        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PHy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7</v>
      </c>
      <c r="I28" s="220" t="str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/>
      </c>
      <c r="J28" s="203" t="str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/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Callitiriche sp.        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0</v>
      </c>
      <c r="S28" s="208" t="n">
        <f aca="false">IF(ISERROR(Q28*I28*J28),0,Q28*I28*J28)</f>
        <v>0</v>
      </c>
      <c r="T28" s="223" t="n">
        <f aca="false">IF(ISERROR(Q28*J28),0,Q28*J28)</f>
        <v>0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CAL.SPX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314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Callitriche stagnalis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PHy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7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12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Callitriche stagnalis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12</v>
      </c>
      <c r="S29" s="208" t="n">
        <f aca="false">IF(ISERROR(Q29*I29*J29),0,Q29*I29*J29)</f>
        <v>24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CAL.STA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329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 t="n">
        <v>1.7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Potamogeton pectinatus    </v>
      </c>
      <c r="E30" s="217" t="e">
        <f aca="false">IF(D30="",0,VLOOKUP(D30,D$22:D29,1,0))</f>
        <v>#N/A</v>
      </c>
      <c r="F30" s="218" t="n">
        <f aca="false">($B30*$B$7+$C30*$C$7)/100</f>
        <v>1.7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PHy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7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Potamogeton pectinatus    </v>
      </c>
      <c r="L30" s="222"/>
      <c r="M30" s="222"/>
      <c r="N30" s="222"/>
      <c r="O30" s="206"/>
      <c r="P30" s="207" t="n">
        <f aca="false">IF(ISTEXT(H30),"",(B30*$B$7/100)+(C30*$C$7/100))</f>
        <v>1.7</v>
      </c>
      <c r="Q30" s="208" t="n">
        <f aca="false">IF(OR(ISTEXT(H30),P30=0),"",IF(P30&lt;0.1,1,IF(P30&lt;1,2,IF(P30&lt;10,3,IF(P30&lt;50,4,IF(P30&gt;=50,5,""))))))</f>
        <v>3</v>
      </c>
      <c r="R30" s="208" t="n">
        <f aca="false">IF(ISERROR(Q30*I30),0,Q30*I30)</f>
        <v>6</v>
      </c>
      <c r="S30" s="208" t="n">
        <f aca="false">IF(ISERROR(Q30*I30*J30),0,Q30*I30*J30)</f>
        <v>12</v>
      </c>
      <c r="T30" s="223" t="n">
        <f aca="false">IF(ISERROR(Q30*J30),0,Q30*J30)</f>
        <v>6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POT.PEC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425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81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Nasturtium officinale (Rorippa nasturtium-aquaticum)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PHe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8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11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1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Nasturtium officinale (Rorippa nasturtium-aquaticum)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11</v>
      </c>
      <c r="S31" s="208" t="n">
        <f aca="false">IF(ISERROR(Q31*I31*J31),0,Q31*I31*J31)</f>
        <v>11</v>
      </c>
      <c r="T31" s="223" t="n">
        <f aca="false">IF(ISERROR(Q31*J31),0,Q31*J31)</f>
        <v>1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NAS.OFF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634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82</v>
      </c>
      <c r="B32" s="215" t="n">
        <v>0.01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Phragmites australis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9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Phragmites australis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9</v>
      </c>
      <c r="S32" s="208" t="n">
        <f aca="false">IF(ISERROR(Q32*I32*J32),0,Q32*I32*J32)</f>
        <v>18</v>
      </c>
      <c r="T32" s="223" t="n">
        <f aca="false">IF(ISERROR(Q32*J32),0,Q32*J32)</f>
        <v>2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PHR.AUS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641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83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Apium nodiflorum (Sium nodiflorum)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PHy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7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10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1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Apium nodiflorum (Sium nodiflorum)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10</v>
      </c>
      <c r="S33" s="208" t="n">
        <f aca="false">IF(ISERROR(Q33*I33*J33),0,Q33*I33*J33)</f>
        <v>10</v>
      </c>
      <c r="T33" s="223" t="n">
        <f aca="false">IF(ISERROR(Q33*J33),0,Q33*J33)</f>
        <v>1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API.NOD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310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15</v>
      </c>
      <c r="B34" s="215" t="n">
        <v>0.18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Hildenbrandia rivularis</v>
      </c>
      <c r="E34" s="217" t="e">
        <f aca="false">IF(D34="",0,VLOOKUP(D34,D$22:D33,1,0))</f>
        <v>#N/A</v>
      </c>
      <c r="F34" s="227" t="n">
        <f aca="false">($B34*$B$7+$C34*$C$7)/100</f>
        <v>0.18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ALG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2</v>
      </c>
      <c r="I34" s="220" t="n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>15</v>
      </c>
      <c r="J34" s="203" t="n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>2</v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Hildenbrandia rivularis</v>
      </c>
      <c r="L34" s="225"/>
      <c r="M34" s="225"/>
      <c r="N34" s="225"/>
      <c r="O34" s="226"/>
      <c r="P34" s="207" t="n">
        <f aca="false">IF(ISTEXT(H34),"",(B34*$B$7/100)+(C34*$C$7/100))</f>
        <v>0.18</v>
      </c>
      <c r="Q34" s="208" t="n">
        <f aca="false">IF(OR(ISTEXT(H34),P34=0),"",IF(P34&lt;0.1,1,IF(P34&lt;1,2,IF(P34&lt;10,3,IF(P34&lt;50,4,IF(P34&gt;=50,5,""))))))</f>
        <v>2</v>
      </c>
      <c r="R34" s="208" t="n">
        <f aca="false">IF(ISERROR(Q34*I34),0,Q34*I34)</f>
        <v>30</v>
      </c>
      <c r="S34" s="208" t="n">
        <f aca="false">IF(ISERROR(Q34*I34*J34),0,Q34*I34*J34)</f>
        <v>60</v>
      </c>
      <c r="T34" s="223" t="n">
        <f aca="false">IF(ISERROR(Q34*J34),0,Q34*J34)</f>
        <v>4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HIL.SPX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31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84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Nartuby</v>
      </c>
      <c r="B84" s="247" t="str">
        <f aca="false">C3</f>
        <v>Trans en Provence</v>
      </c>
      <c r="C84" s="248" t="n">
        <f aca="false">A4</f>
        <v>40021</v>
      </c>
      <c r="D84" s="249" t="n">
        <f aca="false">IF(ISERROR(SUM($S$23:$S$82)/SUM($T$23:$T$82)),"",SUM($S$23:$S$82)/SUM($T$23:$T$82))</f>
        <v>7.14814814814815</v>
      </c>
      <c r="E84" s="250" t="n">
        <f aca="false">N13</f>
        <v>12</v>
      </c>
      <c r="F84" s="247" t="n">
        <f aca="false">N14</f>
        <v>10</v>
      </c>
      <c r="G84" s="247" t="n">
        <f aca="false">N15</f>
        <v>4</v>
      </c>
      <c r="H84" s="247" t="n">
        <f aca="false">N16</f>
        <v>6</v>
      </c>
      <c r="I84" s="247" t="n">
        <f aca="false">N17</f>
        <v>0</v>
      </c>
      <c r="J84" s="251" t="n">
        <f aca="false">N8</f>
        <v>8.5</v>
      </c>
      <c r="K84" s="249" t="n">
        <f aca="false">N9</f>
        <v>4.30116263352131</v>
      </c>
      <c r="L84" s="250" t="n">
        <f aca="false">N10</f>
        <v>2</v>
      </c>
      <c r="M84" s="250" t="n">
        <f aca="false">N11</f>
        <v>15</v>
      </c>
      <c r="N84" s="249" t="n">
        <f aca="false">O8</f>
        <v>1.6</v>
      </c>
      <c r="O84" s="249" t="n">
        <f aca="false">O9</f>
        <v>0.516397779494322</v>
      </c>
      <c r="P84" s="250" t="n">
        <f aca="false">O10</f>
        <v>1</v>
      </c>
      <c r="Q84" s="250" t="n">
        <f aca="false">O11</f>
        <v>2</v>
      </c>
      <c r="R84" s="252" t="n">
        <f aca="false">F21</f>
        <v>12.66</v>
      </c>
      <c r="S84" s="250" t="n">
        <f aca="false">K11</f>
        <v>0</v>
      </c>
      <c r="T84" s="250" t="n">
        <f aca="false">K12</f>
        <v>3</v>
      </c>
      <c r="U84" s="250" t="n">
        <f aca="false">K13</f>
        <v>3</v>
      </c>
      <c r="V84" s="253" t="n">
        <f aca="false">K14</f>
        <v>0</v>
      </c>
      <c r="W84" s="254" t="n">
        <f aca="false">K15</f>
        <v>6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85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86</v>
      </c>
      <c r="Q87" s="9"/>
      <c r="R87" s="209" t="n">
        <f aca="false">VLOOKUP(MAX($R$23:$R$82),($R$23:$T$82),1,0)</f>
        <v>30</v>
      </c>
      <c r="S87" s="9"/>
      <c r="T87" s="9"/>
      <c r="U87" s="9"/>
    </row>
    <row r="88" customFormat="false" ht="12.75" hidden="true" customHeight="false" outlineLevel="0" collapsed="false">
      <c r="P88" s="9" t="s">
        <v>87</v>
      </c>
      <c r="Q88" s="9"/>
      <c r="R88" s="209" t="n">
        <f aca="false">VLOOKUP((R87),($R$23:$T$82),2,0)</f>
        <v>60</v>
      </c>
      <c r="S88" s="9"/>
      <c r="T88" s="9"/>
      <c r="U88" s="9"/>
    </row>
    <row r="89" customFormat="false" ht="12.75" hidden="true" customHeight="false" outlineLevel="0" collapsed="false">
      <c r="P89" s="9" t="s">
        <v>88</v>
      </c>
      <c r="Q89" s="9"/>
      <c r="R89" s="209" t="n">
        <f aca="false">VLOOKUP((R87),($R$23:$T$82),3,0)</f>
        <v>4</v>
      </c>
      <c r="S89" s="9"/>
    </row>
    <row r="90" customFormat="false" ht="12.75" hidden="true" customHeight="false" outlineLevel="0" collapsed="false">
      <c r="P90" s="9" t="s">
        <v>89</v>
      </c>
      <c r="Q90" s="9"/>
      <c r="R90" s="257" t="n">
        <f aca="false">IF(ISERROR(SUM($S$23:$S$82)/SUM($T$23:$T$82)),"",(SUM($S$23:$S$82)-R88)/(SUM($T$23:$T$82)-R89))</f>
        <v>5.78260869565217</v>
      </c>
      <c r="S90" s="9"/>
    </row>
    <row r="91" customFormat="false" ht="12.75" hidden="true" customHeight="false" outlineLevel="0" collapsed="false">
      <c r="P91" s="208" t="s">
        <v>90</v>
      </c>
      <c r="Q91" s="208"/>
      <c r="R91" s="208" t="str">
        <f aca="false">INDEX('[1]liste reference'!$A$7:$A$906,$S$91)</f>
        <v>HIL.SPX</v>
      </c>
      <c r="S91" s="9" t="n">
        <f aca="false">IF(ISERROR(MATCH($R$93,'[1]liste reference'!$A$7:$A$906,0)),MATCH($R$93,'[1]liste reference'!$B$7:$B$906,0),(MATCH($R$93,'[1]liste reference'!$A$7:$A$906,0)))</f>
        <v>31</v>
      </c>
      <c r="T91" s="245"/>
    </row>
    <row r="92" customFormat="false" ht="12.75" hidden="true" customHeight="false" outlineLevel="0" collapsed="false">
      <c r="P92" s="9" t="s">
        <v>91</v>
      </c>
      <c r="Q92" s="9"/>
      <c r="R92" s="9" t="n">
        <f aca="false">MATCH(R87,$R$23:$R$82,0)</f>
        <v>12</v>
      </c>
      <c r="S92" s="9"/>
    </row>
    <row r="93" customFormat="false" ht="12.75" hidden="true" customHeight="false" outlineLevel="0" collapsed="false">
      <c r="P93" s="208" t="s">
        <v>92</v>
      </c>
      <c r="Q93" s="9"/>
      <c r="R93" s="208" t="str">
        <f aca="false">INDEX($A$23:$A$82,$R$92)</f>
        <v>HIL.SPX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2013-10-22T15:33:54Z</dcterms:created>
  <dc:creator>elise.carnet</dc:creator>
  <dc:description/>
  <dc:language>fr-FR</dc:language>
  <cp:lastModifiedBy>elise.carnet</cp:lastModifiedBy>
  <dcterms:modified xsi:type="dcterms:W3CDTF">2013-10-22T15:34:06Z</dcterms:modified>
  <cp:revision>0</cp:revision>
  <dc:subject/>
  <dc:title/>
</cp:coreProperties>
</file>